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Loock Publications\"/>
    </mc:Choice>
  </mc:AlternateContent>
  <bookViews>
    <workbookView xWindow="555" yWindow="1365" windowWidth="15180" windowHeight="12180"/>
  </bookViews>
  <sheets>
    <sheet name="Calculation of LOD (expt data)" sheetId="2" r:id="rId1"/>
    <sheet name="Calculation of LOD (simul data)" sheetId="1" r:id="rId2"/>
    <sheet name="Eqns from Currie and Svehla" sheetId="4" r:id="rId3"/>
  </sheets>
  <definedNames>
    <definedName name="a" localSheetId="2">'Eqns from Currie and Svehla'!$B$4</definedName>
    <definedName name="A">'Calculation of LOD (expt data)'!$S$4</definedName>
    <definedName name="Amp">'Calculation of LOD (expt data)'!$S$6</definedName>
    <definedName name="b" localSheetId="0">'Calculation of LOD (expt data)'!$B$5</definedName>
    <definedName name="b" localSheetId="1">'Calculation of LOD (simul data)'!$B$4</definedName>
    <definedName name="b" localSheetId="2">'Eqns from Currie and Svehla'!$B$6</definedName>
    <definedName name="Bamp">'Calculation of LOD (expt data)'!$S$5</definedName>
    <definedName name="D" localSheetId="0">'Calculation of LOD (expt data)'!$B$9</definedName>
    <definedName name="D" localSheetId="1">'Calculation of LOD (simul data)'!$B$9</definedName>
    <definedName name="garbage">'Calculation of LOD (simul data)'!$B$1</definedName>
    <definedName name="I" localSheetId="1">'Calculation of LOD (simul data)'!$B$14</definedName>
    <definedName name="I" localSheetId="2">'Eqns from Currie and Svehla'!$B$13</definedName>
    <definedName name="intercept">'Calculation of LOD (simul data)'!$B$4</definedName>
    <definedName name="k" localSheetId="0">'Calculation of LOD (expt data)'!$B$4</definedName>
    <definedName name="k" localSheetId="1">'Calculation of LOD (simul data)'!$B$3</definedName>
    <definedName name="K" localSheetId="2">'Eqns from Currie and Svehla'!$B$12</definedName>
    <definedName name="m" localSheetId="0">'Calculation of LOD (expt data)'!$B$6</definedName>
    <definedName name="m" localSheetId="1">'Calculation of LOD (simul data)'!$B$6</definedName>
    <definedName name="m" localSheetId="2">'Eqns from Currie and Svehla'!$B$2</definedName>
    <definedName name="n" localSheetId="0">'Calculation of LOD (expt data)'!$B$3</definedName>
    <definedName name="n" localSheetId="1">'Calculation of LOD (simul data)'!$B$2</definedName>
    <definedName name="n" localSheetId="2">'Eqns from Currie and Svehla'!$B$3</definedName>
    <definedName name="r_a_b" localSheetId="2">'Eqns from Currie and Svehla'!$B$9</definedName>
    <definedName name="s_0" localSheetId="1">'Calculation of LOD (simul data)'!$B$11</definedName>
    <definedName name="s_0" localSheetId="2">'Eqns from Currie and Svehla'!$B$11</definedName>
    <definedName name="s_a" localSheetId="2">'Eqns from Currie and Svehla'!$B$5</definedName>
    <definedName name="s_b" localSheetId="2">'Eqns from Currie and Svehla'!$B$7</definedName>
    <definedName name="s_y" localSheetId="2">'Eqns from Currie and Svehla'!$B$8</definedName>
    <definedName name="sigma_b">'Calculation of LOD (simul data)'!$C$6</definedName>
    <definedName name="Sigma_slope" localSheetId="1">'Calculation of LOD (simul data)'!$B$7</definedName>
    <definedName name="sigma_y" localSheetId="0">'Calculation of LOD (expt data)'!$B$10</definedName>
    <definedName name="sigma_y" localSheetId="1">'Calculation of LOD (simul data)'!$B$10</definedName>
    <definedName name="slope">'Calculation of LOD (simul data)'!$B$6</definedName>
    <definedName name="t" localSheetId="1">'Calculation of LOD (simul data)'!$B$1</definedName>
    <definedName name="t" localSheetId="2">'Eqns from Currie and Svehla'!$B$1</definedName>
    <definedName name="t">'Calculation of LOD (expt data)'!$B$2</definedName>
  </definedNames>
  <calcPr calcId="152511"/>
</workbook>
</file>

<file path=xl/calcChain.xml><?xml version="1.0" encoding="utf-8"?>
<calcChain xmlns="http://schemas.openxmlformats.org/spreadsheetml/2006/main">
  <c r="C3" i="2" l="1"/>
  <c r="C2" i="2"/>
  <c r="F2" i="4"/>
  <c r="F3" i="4"/>
  <c r="G3" i="2" l="1"/>
  <c r="F12" i="1" l="1"/>
  <c r="F11" i="1"/>
  <c r="F10" i="1"/>
  <c r="F9" i="1"/>
  <c r="F8" i="1"/>
  <c r="F7" i="1"/>
  <c r="F6" i="1"/>
  <c r="F5" i="1"/>
  <c r="F4" i="1"/>
  <c r="C5" i="2" l="1"/>
  <c r="G5" i="2" s="1"/>
  <c r="F5" i="4"/>
  <c r="C7" i="2"/>
  <c r="G7" i="2" s="1"/>
  <c r="F7" i="4"/>
  <c r="C9" i="2"/>
  <c r="G9" i="2" s="1"/>
  <c r="F9" i="4"/>
  <c r="C11" i="2"/>
  <c r="G11" i="2" s="1"/>
  <c r="F11" i="4"/>
  <c r="C4" i="2"/>
  <c r="G4" i="2" s="1"/>
  <c r="F4" i="4"/>
  <c r="C6" i="2"/>
  <c r="G6" i="2" s="1"/>
  <c r="F6" i="4"/>
  <c r="C8" i="2"/>
  <c r="G8" i="2" s="1"/>
  <c r="F8" i="4"/>
  <c r="C10" i="2"/>
  <c r="G10" i="2" s="1"/>
  <c r="F10" i="4"/>
  <c r="C12" i="2"/>
  <c r="G12" i="2" s="1"/>
  <c r="F12" i="4"/>
  <c r="D12" i="1"/>
  <c r="D12" i="4" s="1"/>
  <c r="E12" i="1"/>
  <c r="E12" i="4" s="1"/>
  <c r="G12" i="1" l="1"/>
  <c r="G12" i="4" l="1"/>
  <c r="B2" i="1"/>
  <c r="K7" i="4"/>
  <c r="K6" i="4"/>
  <c r="K5" i="4"/>
  <c r="K4" i="4"/>
  <c r="K3" i="4"/>
  <c r="K12" i="2" l="1"/>
  <c r="M12" i="2"/>
  <c r="K8" i="4"/>
  <c r="K9" i="4" l="1"/>
  <c r="K10" i="4" l="1"/>
  <c r="E4" i="1"/>
  <c r="E4" i="4" s="1"/>
  <c r="E5" i="1"/>
  <c r="E5" i="4" s="1"/>
  <c r="E6" i="1"/>
  <c r="E6" i="4" s="1"/>
  <c r="E7" i="1"/>
  <c r="E7" i="4" s="1"/>
  <c r="E8" i="1"/>
  <c r="E8" i="4" s="1"/>
  <c r="E9" i="1"/>
  <c r="E9" i="4" s="1"/>
  <c r="E10" i="1"/>
  <c r="E10" i="4" s="1"/>
  <c r="E11" i="1"/>
  <c r="E11" i="4" s="1"/>
  <c r="E3" i="1"/>
  <c r="D4" i="1"/>
  <c r="D4" i="4" s="1"/>
  <c r="D5" i="1"/>
  <c r="D5" i="4" s="1"/>
  <c r="D6" i="1"/>
  <c r="D6" i="4" s="1"/>
  <c r="D7" i="1"/>
  <c r="D7" i="4" s="1"/>
  <c r="D8" i="1"/>
  <c r="D8" i="4" s="1"/>
  <c r="D9" i="1"/>
  <c r="D9" i="4" s="1"/>
  <c r="D10" i="1"/>
  <c r="D10" i="4" s="1"/>
  <c r="D11" i="1"/>
  <c r="D11" i="4" s="1"/>
  <c r="D3" i="1"/>
  <c r="D3" i="4" s="1"/>
  <c r="J8" i="1"/>
  <c r="J9" i="1"/>
  <c r="J10" i="1"/>
  <c r="J7" i="1"/>
  <c r="J6" i="1"/>
  <c r="E3" i="4" l="1"/>
  <c r="G10" i="1"/>
  <c r="G6" i="1"/>
  <c r="G11" i="1"/>
  <c r="G7" i="1"/>
  <c r="G9" i="1"/>
  <c r="G5" i="1"/>
  <c r="G3" i="1"/>
  <c r="G8" i="1"/>
  <c r="G4" i="1"/>
  <c r="K11" i="4"/>
  <c r="J11" i="1"/>
  <c r="J4" i="1"/>
  <c r="J5" i="1"/>
  <c r="J3" i="1"/>
  <c r="G11" i="4" l="1"/>
  <c r="G8" i="4"/>
  <c r="G7" i="4"/>
  <c r="G3" i="4"/>
  <c r="G5" i="4"/>
  <c r="G6" i="4"/>
  <c r="G4" i="4"/>
  <c r="G9" i="4"/>
  <c r="G10" i="4"/>
  <c r="B8" i="1"/>
  <c r="B6" i="1"/>
  <c r="B4" i="1"/>
  <c r="K12" i="4"/>
  <c r="J12" i="1"/>
  <c r="B9" i="1" s="1"/>
  <c r="B6" i="2" l="1"/>
  <c r="B8" i="2"/>
  <c r="B5" i="2"/>
  <c r="K4" i="2"/>
  <c r="M4" i="2"/>
  <c r="B2" i="4"/>
  <c r="B9" i="4" s="1"/>
  <c r="B10" i="4" s="1"/>
  <c r="F2" i="2" l="1"/>
  <c r="N8" i="2"/>
  <c r="E12" i="2"/>
  <c r="N9" i="2"/>
  <c r="N5" i="2"/>
  <c r="N10" i="2"/>
  <c r="N11" i="2"/>
  <c r="E3" i="2"/>
  <c r="F12" i="2"/>
  <c r="N12" i="2"/>
  <c r="N7" i="2"/>
  <c r="N4" i="2"/>
  <c r="N3" i="2"/>
  <c r="N6" i="2"/>
  <c r="H12" i="1"/>
  <c r="H8" i="1"/>
  <c r="H4" i="1"/>
  <c r="H3" i="1"/>
  <c r="H5" i="1"/>
  <c r="H10" i="1"/>
  <c r="H11" i="1"/>
  <c r="H6" i="1"/>
  <c r="H9" i="1"/>
  <c r="H7" i="1"/>
  <c r="I12" i="1"/>
  <c r="L12" i="1"/>
  <c r="L9" i="1"/>
  <c r="I5" i="1"/>
  <c r="L7" i="1"/>
  <c r="I11" i="1"/>
  <c r="I6" i="1"/>
  <c r="L5" i="1"/>
  <c r="I2" i="1"/>
  <c r="I3" i="1"/>
  <c r="L8" i="1"/>
  <c r="I8" i="1"/>
  <c r="L6" i="1"/>
  <c r="I7" i="1"/>
  <c r="L4" i="1"/>
  <c r="I9" i="1"/>
  <c r="L3" i="1"/>
  <c r="L10" i="1"/>
  <c r="I4" i="1"/>
  <c r="L11" i="1"/>
  <c r="I10" i="1"/>
  <c r="B10" i="1" l="1"/>
  <c r="B14" i="4"/>
  <c r="B6" i="4"/>
  <c r="B4" i="4"/>
  <c r="B13" i="1" l="1"/>
  <c r="B11" i="1"/>
  <c r="B16" i="4" s="1"/>
  <c r="B7" i="1"/>
  <c r="I3" i="4"/>
  <c r="J3" i="4" s="1"/>
  <c r="I12" i="4"/>
  <c r="J12" i="4" s="1"/>
  <c r="I6" i="4"/>
  <c r="J6" i="4" s="1"/>
  <c r="I5" i="4"/>
  <c r="J5" i="4" s="1"/>
  <c r="I8" i="4"/>
  <c r="J8" i="4" s="1"/>
  <c r="I10" i="4"/>
  <c r="J10" i="4" s="1"/>
  <c r="I11" i="4"/>
  <c r="J11" i="4" s="1"/>
  <c r="I7" i="4"/>
  <c r="J7" i="4" s="1"/>
  <c r="I2" i="4"/>
  <c r="I9" i="4"/>
  <c r="J9" i="4" s="1"/>
  <c r="I4" i="4"/>
  <c r="J4" i="4" s="1"/>
  <c r="K5" i="1"/>
  <c r="K4" i="1"/>
  <c r="K6" i="1"/>
  <c r="K10" i="1"/>
  <c r="K11" i="1"/>
  <c r="K7" i="1"/>
  <c r="K12" i="1"/>
  <c r="K3" i="1"/>
  <c r="K9" i="1"/>
  <c r="K8" i="1"/>
  <c r="H12" i="4"/>
  <c r="H6" i="4"/>
  <c r="H5" i="4"/>
  <c r="H10" i="4"/>
  <c r="H8" i="4"/>
  <c r="H3" i="4"/>
  <c r="H11" i="4"/>
  <c r="H9" i="4"/>
  <c r="H4" i="4"/>
  <c r="H7" i="4"/>
  <c r="B14" i="1" l="1"/>
  <c r="O8" i="1"/>
  <c r="P8" i="1"/>
  <c r="O4" i="1"/>
  <c r="P4" i="1"/>
  <c r="O9" i="1"/>
  <c r="P9" i="1"/>
  <c r="P5" i="1"/>
  <c r="O5" i="1"/>
  <c r="O10" i="1"/>
  <c r="P10" i="1"/>
  <c r="O7" i="1"/>
  <c r="P7" i="1"/>
  <c r="P11" i="1"/>
  <c r="O11" i="1"/>
  <c r="O12" i="1"/>
  <c r="P12" i="1"/>
  <c r="O6" i="1"/>
  <c r="P6" i="1"/>
  <c r="O3" i="1"/>
  <c r="P3" i="1"/>
  <c r="B5" i="1"/>
  <c r="N8" i="1"/>
  <c r="M8" i="1"/>
  <c r="M3" i="1"/>
  <c r="N3" i="1"/>
  <c r="M7" i="1"/>
  <c r="N7" i="1"/>
  <c r="M10" i="1"/>
  <c r="N10" i="1"/>
  <c r="N6" i="1"/>
  <c r="M6" i="1"/>
  <c r="N5" i="1"/>
  <c r="M5" i="1"/>
  <c r="B8" i="4"/>
  <c r="N9" i="1"/>
  <c r="M9" i="1"/>
  <c r="M12" i="1"/>
  <c r="N12" i="1"/>
  <c r="N11" i="1"/>
  <c r="M11" i="1"/>
  <c r="M4" i="1"/>
  <c r="N4" i="1"/>
  <c r="A15" i="1"/>
  <c r="A16" i="1" s="1"/>
  <c r="B15" i="1" l="1"/>
  <c r="B7" i="4"/>
  <c r="B5" i="4" s="1"/>
  <c r="L12" i="4"/>
  <c r="L8" i="4"/>
  <c r="L5" i="4"/>
  <c r="L3" i="4"/>
  <c r="L10" i="4"/>
  <c r="L4" i="4"/>
  <c r="L6" i="4"/>
  <c r="O6" i="4" s="1"/>
  <c r="L11" i="4"/>
  <c r="L9" i="4"/>
  <c r="L7" i="4"/>
  <c r="N3" i="4" l="1"/>
  <c r="M3" i="4"/>
  <c r="O3" i="4"/>
  <c r="P7" i="4"/>
  <c r="O7" i="4"/>
  <c r="N7" i="4"/>
  <c r="M7" i="4"/>
  <c r="N9" i="4"/>
  <c r="P9" i="4"/>
  <c r="M9" i="4"/>
  <c r="O9" i="4"/>
  <c r="N11" i="4"/>
  <c r="O11" i="4"/>
  <c r="M11" i="4"/>
  <c r="P11" i="4"/>
  <c r="P10" i="4"/>
  <c r="O10" i="4"/>
  <c r="N10" i="4"/>
  <c r="M10" i="4"/>
  <c r="M5" i="4"/>
  <c r="N5" i="4"/>
  <c r="P5" i="4"/>
  <c r="O5" i="4"/>
  <c r="M12" i="4"/>
  <c r="P12" i="4"/>
  <c r="N12" i="4"/>
  <c r="O12" i="4"/>
  <c r="M6" i="4"/>
  <c r="N6" i="4"/>
  <c r="P6" i="4"/>
  <c r="N4" i="4"/>
  <c r="P4" i="4"/>
  <c r="M4" i="4"/>
  <c r="O4" i="4"/>
  <c r="P3" i="4"/>
  <c r="M8" i="4"/>
  <c r="N8" i="4"/>
  <c r="O8" i="4"/>
  <c r="P8" i="4"/>
  <c r="B11" i="4"/>
  <c r="B13" i="4"/>
  <c r="B17" i="4" l="1"/>
  <c r="B18" i="4" s="1"/>
  <c r="B12" i="4"/>
  <c r="B15" i="4" s="1"/>
  <c r="B12" i="1" l="1"/>
  <c r="A18" i="4"/>
  <c r="A19" i="4" s="1"/>
  <c r="M3" i="2" l="1"/>
  <c r="K3" i="2"/>
  <c r="M7" i="2"/>
  <c r="K7" i="2"/>
  <c r="K10" i="2"/>
  <c r="M10" i="2"/>
  <c r="K8" i="2"/>
  <c r="M8" i="2"/>
  <c r="M5" i="2"/>
  <c r="K5" i="2"/>
  <c r="M6" i="2"/>
  <c r="K6" i="2"/>
  <c r="K11" i="2"/>
  <c r="M11" i="2"/>
  <c r="K9" i="2"/>
  <c r="M9" i="2"/>
  <c r="B3" i="2"/>
  <c r="B9" i="2" l="1"/>
  <c r="E7" i="2"/>
  <c r="E5" i="2"/>
  <c r="E10" i="2"/>
  <c r="E8" i="2"/>
  <c r="E6" i="2"/>
  <c r="E4" i="2"/>
  <c r="E11" i="2"/>
  <c r="E9" i="2"/>
  <c r="F3" i="2"/>
  <c r="F6" i="2"/>
  <c r="F4" i="2"/>
  <c r="F11" i="2"/>
  <c r="F5" i="2"/>
  <c r="F7" i="2"/>
  <c r="F8" i="2"/>
  <c r="F9" i="2"/>
  <c r="F10" i="2"/>
  <c r="B10" i="2" l="1"/>
  <c r="B13" i="2" l="1"/>
  <c r="B12" i="2"/>
  <c r="H12" i="2"/>
  <c r="I12" i="2"/>
  <c r="B15" i="2"/>
  <c r="H3" i="2"/>
  <c r="P3" i="2" s="1"/>
  <c r="H5" i="2"/>
  <c r="L5" i="2" s="1"/>
  <c r="H7" i="2"/>
  <c r="P7" i="2" s="1"/>
  <c r="H9" i="2"/>
  <c r="H11" i="2"/>
  <c r="P11" i="2" s="1"/>
  <c r="H4" i="2"/>
  <c r="L4" i="2" s="1"/>
  <c r="H6" i="2"/>
  <c r="P6" i="2" s="1"/>
  <c r="H8" i="2"/>
  <c r="L8" i="2" s="1"/>
  <c r="H10" i="2"/>
  <c r="P10" i="2" s="1"/>
  <c r="I11" i="2"/>
  <c r="I8" i="2"/>
  <c r="B11" i="2"/>
  <c r="B33" i="2" s="1"/>
  <c r="I10" i="2"/>
  <c r="I5" i="2"/>
  <c r="I4" i="2"/>
  <c r="I9" i="2"/>
  <c r="I7" i="2"/>
  <c r="I3" i="2"/>
  <c r="I6" i="2"/>
  <c r="B7" i="2"/>
  <c r="B22" i="2" s="1"/>
  <c r="B37" i="2" l="1"/>
  <c r="A38" i="2"/>
  <c r="B34" i="2"/>
  <c r="A34" i="2"/>
  <c r="A35" i="2" s="1"/>
  <c r="J12" i="2"/>
  <c r="O12" i="2"/>
  <c r="L12" i="2"/>
  <c r="P12" i="2"/>
  <c r="L6" i="2"/>
  <c r="L10" i="2"/>
  <c r="L9" i="2"/>
  <c r="O10" i="2"/>
  <c r="P9" i="2"/>
  <c r="O9" i="2"/>
  <c r="O5" i="2"/>
  <c r="J5" i="2"/>
  <c r="J4" i="2"/>
  <c r="J3" i="2"/>
  <c r="P8" i="2"/>
  <c r="J9" i="2"/>
  <c r="J10" i="2"/>
  <c r="P5" i="2"/>
  <c r="J6" i="2"/>
  <c r="O6" i="2"/>
  <c r="J7" i="2"/>
  <c r="L7" i="2"/>
  <c r="O8" i="2"/>
  <c r="B16" i="2"/>
  <c r="B17" i="2" s="1"/>
  <c r="O7" i="2"/>
  <c r="J8" i="2"/>
  <c r="O11" i="2"/>
  <c r="P4" i="2"/>
  <c r="O3" i="2"/>
  <c r="L11" i="2"/>
  <c r="J11" i="2"/>
  <c r="O4" i="2"/>
  <c r="L3" i="2"/>
  <c r="A17" i="2"/>
  <c r="A18" i="2" s="1"/>
  <c r="B23" i="2" l="1"/>
  <c r="B38" i="2"/>
  <c r="A39" i="2" l="1"/>
</calcChain>
</file>

<file path=xl/sharedStrings.xml><?xml version="1.0" encoding="utf-8"?>
<sst xmlns="http://schemas.openxmlformats.org/spreadsheetml/2006/main" count="90" uniqueCount="63">
  <si>
    <t>x</t>
  </si>
  <si>
    <t>y</t>
  </si>
  <si>
    <t>D =</t>
  </si>
  <si>
    <t>x^2</t>
  </si>
  <si>
    <t>sigma_x</t>
  </si>
  <si>
    <t>k=</t>
  </si>
  <si>
    <t>n=</t>
  </si>
  <si>
    <t>d_i^2</t>
  </si>
  <si>
    <t>y_fit</t>
  </si>
  <si>
    <t>x_fit</t>
  </si>
  <si>
    <t>mean_x+sigma_x</t>
  </si>
  <si>
    <t>mean_x+conf_x</t>
  </si>
  <si>
    <t>mean_x-conf_x</t>
  </si>
  <si>
    <t>Random Numbers</t>
  </si>
  <si>
    <t xml:space="preserve">intercept= </t>
  </si>
  <si>
    <t>slope =</t>
  </si>
  <si>
    <t>Sigma_slope =</t>
  </si>
  <si>
    <t>R^2 =</t>
  </si>
  <si>
    <t>sigma_y =</t>
  </si>
  <si>
    <t>Concentration (x)</t>
  </si>
  <si>
    <t>Signal (y)</t>
  </si>
  <si>
    <t>m =</t>
  </si>
  <si>
    <t>n =</t>
  </si>
  <si>
    <t>(y-yfit)^2</t>
  </si>
  <si>
    <t>t =</t>
  </si>
  <si>
    <t>K =</t>
  </si>
  <si>
    <t>I =</t>
  </si>
  <si>
    <t>s_x</t>
  </si>
  <si>
    <t xml:space="preserve">RSQ = </t>
  </si>
  <si>
    <t>intercept=</t>
  </si>
  <si>
    <t>Sigma_intercept=</t>
  </si>
  <si>
    <t>slope=</t>
  </si>
  <si>
    <t>Sigma_slope=</t>
  </si>
  <si>
    <t>R^2=</t>
  </si>
  <si>
    <t>sigma_y=</t>
  </si>
  <si>
    <t>intercept, a=</t>
  </si>
  <si>
    <t>s_a=</t>
  </si>
  <si>
    <t>slope,b=</t>
  </si>
  <si>
    <t>s_b=</t>
  </si>
  <si>
    <t>s_y=</t>
  </si>
  <si>
    <t>r(a,b)=</t>
  </si>
  <si>
    <t>s_0=</t>
  </si>
  <si>
    <t>estimated x(LOD) from Currie&amp;Svehla=</t>
  </si>
  <si>
    <t>sigma_y</t>
  </si>
  <si>
    <t>Signal(y)</t>
  </si>
  <si>
    <t>Signal(Y)</t>
  </si>
  <si>
    <t>Average intercept variance (0-1) =</t>
  </si>
  <si>
    <t>Average slope variance (0-1) =</t>
  </si>
  <si>
    <t>Concentration range power(1-5) =</t>
  </si>
  <si>
    <t xml:space="preserve">Please change only values in red. All other values are calculated. </t>
  </si>
  <si>
    <t>The LOD is calculated using equation (4.19) from Currie and Svehla, Pure&amp; Appl. Chem, 66,3(1996) 595 --- Please change only values in red/bold face. All other values are calculated. To generate new random numbers, select an empty cell and press &lt;delete&gt;.</t>
  </si>
  <si>
    <t>estimated LOD from eq (11) =</t>
  </si>
  <si>
    <t>estimated x[LOD] from eq (11) =</t>
  </si>
  <si>
    <t>estimated x(LOD) from eq (15) =</t>
  </si>
  <si>
    <t>The LOD is caluclated using equation (11) in the manuscript. --- Please change only values in red/bold face. All other values are calculated. To generate new random numbers, select an empty cell and press &lt;delete&gt;.</t>
  </si>
  <si>
    <t>sigma_intercept</t>
  </si>
  <si>
    <t>t x s_0</t>
  </si>
  <si>
    <t>assuming error free calibration: Xc = LOD[1] =</t>
  </si>
  <si>
    <t>from eq(11) using s[y]: LOD[2] =</t>
  </si>
  <si>
    <t>from eq(15) Currie and Svehla: LOD[3] =</t>
  </si>
  <si>
    <t>Please cite "Detection limits of chemical sensors: applications and misapplications", Hans-Peter Loock* and Peter D Wentzell, Sens. Act. B: Chem, (2012)</t>
  </si>
  <si>
    <t>LOD [1]</t>
  </si>
  <si>
    <t>LOD[3]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</si>
</sst>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Protection="1">
      <protection locked="0"/>
    </xf>
    <xf numFmtId="0" fontId="2" fillId="0" borderId="8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6" fillId="0" borderId="0" xfId="0" applyFont="1"/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12" xfId="0" applyFont="1" applyBorder="1" applyAlignment="1">
      <alignment horizontal="right"/>
    </xf>
    <xf numFmtId="0" fontId="3" fillId="0" borderId="8" xfId="0" applyFont="1" applyBorder="1"/>
    <xf numFmtId="0" fontId="8" fillId="0" borderId="0" xfId="0" applyFont="1"/>
    <xf numFmtId="0" fontId="2" fillId="0" borderId="4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0" fillId="0" borderId="1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/>
    <xf numFmtId="0" fontId="9" fillId="0" borderId="0" xfId="0" applyFont="1"/>
    <xf numFmtId="0" fontId="0" fillId="0" borderId="5" xfId="0" applyBorder="1"/>
    <xf numFmtId="0" fontId="4" fillId="0" borderId="8" xfId="0" applyFont="1" applyBorder="1"/>
    <xf numFmtId="0" fontId="4" fillId="0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8" fillId="0" borderId="0" xfId="0" quotePrefix="1" applyFont="1"/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10" fillId="0" borderId="0" xfId="0" applyFont="1"/>
    <xf numFmtId="0" fontId="10" fillId="0" borderId="3" xfId="0" applyFont="1" applyBorder="1"/>
    <xf numFmtId="0" fontId="10" fillId="0" borderId="8" xfId="0" applyFont="1" applyBorder="1"/>
    <xf numFmtId="0" fontId="5" fillId="0" borderId="1" xfId="0" applyFont="1" applyBorder="1" applyAlignment="1">
      <alignment horizontal="right"/>
    </xf>
    <xf numFmtId="0" fontId="5" fillId="0" borderId="3" xfId="0" applyFont="1" applyBorder="1"/>
    <xf numFmtId="0" fontId="0" fillId="0" borderId="13" xfId="0" applyFont="1" applyFill="1" applyBorder="1"/>
    <xf numFmtId="0" fontId="10" fillId="0" borderId="5" xfId="0" applyFont="1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1" xfId="0" applyFont="1" applyBorder="1"/>
    <xf numFmtId="0" fontId="7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0" fontId="0" fillId="4" borderId="0" xfId="0" applyFill="1" applyBorder="1" applyAlignment="1"/>
    <xf numFmtId="0" fontId="3" fillId="4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right"/>
    </xf>
    <xf numFmtId="0" fontId="12" fillId="0" borderId="0" xfId="0" applyFont="1"/>
    <xf numFmtId="0" fontId="11" fillId="0" borderId="0" xfId="0" applyFont="1"/>
    <xf numFmtId="164" fontId="0" fillId="0" borderId="0" xfId="0" applyNumberFormat="1"/>
    <xf numFmtId="0" fontId="8" fillId="0" borderId="0" xfId="0" applyFont="1" applyAlignment="1">
      <alignment horizontal="right"/>
    </xf>
    <xf numFmtId="0" fontId="2" fillId="0" borderId="12" xfId="0" applyFont="1" applyBorder="1" applyAlignment="1"/>
    <xf numFmtId="0" fontId="2" fillId="0" borderId="12" xfId="0" applyFont="1" applyBorder="1"/>
    <xf numFmtId="0" fontId="2" fillId="0" borderId="15" xfId="0" applyFont="1" applyBorder="1" applyAlignment="1"/>
    <xf numFmtId="0" fontId="2" fillId="0" borderId="15" xfId="0" applyFont="1" applyBorder="1"/>
    <xf numFmtId="0" fontId="5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/>
    <xf numFmtId="0" fontId="5" fillId="0" borderId="18" xfId="0" applyFont="1" applyBorder="1" applyAlignment="1">
      <alignment horizontal="right"/>
    </xf>
    <xf numFmtId="0" fontId="5" fillId="0" borderId="19" xfId="0" applyFont="1" applyBorder="1"/>
    <xf numFmtId="0" fontId="5" fillId="0" borderId="20" xfId="0" applyFont="1" applyBorder="1" applyAlignment="1">
      <alignment horizontal="right"/>
    </xf>
    <xf numFmtId="0" fontId="5" fillId="0" borderId="21" xfId="0" applyFont="1" applyBorder="1"/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51415567261933E-2"/>
          <c:y val="2.7125187568241473E-2"/>
          <c:w val="0.89066148758173869"/>
          <c:h val="0.936561733028807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'Calculation of LOD (expt data)'!$B$10</c:f>
                <c:numCache>
                  <c:formatCode>General</c:formatCode>
                  <c:ptCount val="1"/>
                  <c:pt idx="0">
                    <c:v>9.9085327802193319</c:v>
                  </c:pt>
                </c:numCache>
              </c:numRef>
            </c:plus>
            <c:minus>
              <c:numRef>
                <c:f>'Calculation of LOD (expt data)'!$B$10</c:f>
                <c:numCache>
                  <c:formatCode>General</c:formatCode>
                  <c:ptCount val="1"/>
                  <c:pt idx="0">
                    <c:v>9.9085327802193319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'Calculation of LOD (expt data)'!$H$3:$H$62</c:f>
                <c:numCache>
                  <c:formatCode>General</c:formatCode>
                  <c:ptCount val="60"/>
                  <c:pt idx="0">
                    <c:v>10.792014260757881</c:v>
                  </c:pt>
                  <c:pt idx="1">
                    <c:v>10.710108102245387</c:v>
                  </c:pt>
                  <c:pt idx="2">
                    <c:v>10.505550845801075</c:v>
                  </c:pt>
                  <c:pt idx="3">
                    <c:v>10.376667201865343</c:v>
                  </c:pt>
                  <c:pt idx="4">
                    <c:v>10.261207465879583</c:v>
                  </c:pt>
                  <c:pt idx="5">
                    <c:v>10.189267744004502</c:v>
                  </c:pt>
                  <c:pt idx="6">
                    <c:v>10.200607322614957</c:v>
                  </c:pt>
                  <c:pt idx="7">
                    <c:v>10.453886461957497</c:v>
                  </c:pt>
                  <c:pt idx="8">
                    <c:v>10.40111832826644</c:v>
                  </c:pt>
                  <c:pt idx="9">
                    <c:v>12.60459104912459</c:v>
                  </c:pt>
                </c:numCache>
              </c:numRef>
            </c:plus>
            <c:minus>
              <c:numRef>
                <c:f>'Calculation of LOD (expt data)'!$H$3:$H$62</c:f>
                <c:numCache>
                  <c:formatCode>General</c:formatCode>
                  <c:ptCount val="60"/>
                  <c:pt idx="0">
                    <c:v>10.792014260757881</c:v>
                  </c:pt>
                  <c:pt idx="1">
                    <c:v>10.710108102245387</c:v>
                  </c:pt>
                  <c:pt idx="2">
                    <c:v>10.505550845801075</c:v>
                  </c:pt>
                  <c:pt idx="3">
                    <c:v>10.376667201865343</c:v>
                  </c:pt>
                  <c:pt idx="4">
                    <c:v>10.261207465879583</c:v>
                  </c:pt>
                  <c:pt idx="5">
                    <c:v>10.189267744004502</c:v>
                  </c:pt>
                  <c:pt idx="6">
                    <c:v>10.200607322614957</c:v>
                  </c:pt>
                  <c:pt idx="7">
                    <c:v>10.453886461957497</c:v>
                  </c:pt>
                  <c:pt idx="8">
                    <c:v>10.40111832826644</c:v>
                  </c:pt>
                  <c:pt idx="9">
                    <c:v>12.60459104912459</c:v>
                  </c:pt>
                </c:numCache>
              </c:numRef>
            </c:minus>
          </c:errBars>
          <c:xVal>
            <c:numRef>
              <c:f>'Calculation of LOD (expt data)'!$C$3:$C$108</c:f>
              <c:numCache>
                <c:formatCode>General</c:formatCode>
                <c:ptCount val="106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</c:numCache>
            </c:numRef>
          </c:xVal>
          <c:yVal>
            <c:numRef>
              <c:f>'Calculation of LOD (expt data)'!$D$3:$D$108</c:f>
              <c:numCache>
                <c:formatCode>General</c:formatCode>
                <c:ptCount val="106"/>
                <c:pt idx="0">
                  <c:v>10.967044171877045</c:v>
                </c:pt>
                <c:pt idx="1">
                  <c:v>13.726656204186376</c:v>
                </c:pt>
                <c:pt idx="2">
                  <c:v>21.677432581958747</c:v>
                </c:pt>
                <c:pt idx="3">
                  <c:v>28.050180293931085</c:v>
                </c:pt>
                <c:pt idx="4">
                  <c:v>36.031492686313349</c:v>
                </c:pt>
                <c:pt idx="5">
                  <c:v>51.966735780610378</c:v>
                </c:pt>
                <c:pt idx="6">
                  <c:v>55.153226313827858</c:v>
                </c:pt>
                <c:pt idx="7">
                  <c:v>74.657328755768432</c:v>
                </c:pt>
                <c:pt idx="8">
                  <c:v>71.995613696029238</c:v>
                </c:pt>
                <c:pt idx="9">
                  <c:v>129.29973681762942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737904"/>
        <c:axId val="433738464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'Calculation of LOD (expt data)'!$J$3:$J$109</c:f>
              <c:numCache>
                <c:formatCode>General</c:formatCode>
                <c:ptCount val="107"/>
                <c:pt idx="0">
                  <c:v>33.250636122898314</c:v>
                </c:pt>
                <c:pt idx="1">
                  <c:v>35.709884976885341</c:v>
                </c:pt>
                <c:pt idx="2">
                  <c:v>42.889551580639584</c:v>
                </c:pt>
                <c:pt idx="3">
                  <c:v>48.749457830916356</c:v>
                </c:pt>
                <c:pt idx="4">
                  <c:v>56.22634834905044</c:v>
                </c:pt>
                <c:pt idx="5">
                  <c:v>71.630229146116449</c:v>
                </c:pt>
                <c:pt idx="6">
                  <c:v>74.787640839826537</c:v>
                </c:pt>
                <c:pt idx="7">
                  <c:v>94.665368482806826</c:v>
                </c:pt>
                <c:pt idx="8">
                  <c:v>91.898055209181081</c:v>
                </c:pt>
                <c:pt idx="9">
                  <c:v>154.67788380923082</c:v>
                </c:pt>
              </c:numCache>
            </c:numRef>
          </c:xVal>
          <c:yVal>
            <c:numRef>
              <c:f>'Calculation of LOD (expt data)'!$D$3:$D$108</c:f>
              <c:numCache>
                <c:formatCode>General</c:formatCode>
                <c:ptCount val="106"/>
                <c:pt idx="0">
                  <c:v>10.967044171877045</c:v>
                </c:pt>
                <c:pt idx="1">
                  <c:v>13.726656204186376</c:v>
                </c:pt>
                <c:pt idx="2">
                  <c:v>21.677432581958747</c:v>
                </c:pt>
                <c:pt idx="3">
                  <c:v>28.050180293931085</c:v>
                </c:pt>
                <c:pt idx="4">
                  <c:v>36.031492686313349</c:v>
                </c:pt>
                <c:pt idx="5">
                  <c:v>51.966735780610378</c:v>
                </c:pt>
                <c:pt idx="6">
                  <c:v>55.153226313827858</c:v>
                </c:pt>
                <c:pt idx="7">
                  <c:v>74.657328755768432</c:v>
                </c:pt>
                <c:pt idx="8">
                  <c:v>71.995613696029238</c:v>
                </c:pt>
                <c:pt idx="9">
                  <c:v>129.29973681762942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'Calculation of LOD (expt data)'!$L$3:$L$109</c:f>
              <c:numCache>
                <c:formatCode>General</c:formatCode>
                <c:ptCount val="107"/>
                <c:pt idx="0">
                  <c:v>-31.501449441648969</c:v>
                </c:pt>
                <c:pt idx="1">
                  <c:v>-28.550763636586989</c:v>
                </c:pt>
                <c:pt idx="2">
                  <c:v>-20.143753494166866</c:v>
                </c:pt>
                <c:pt idx="3">
                  <c:v>-13.510545380275701</c:v>
                </c:pt>
                <c:pt idx="4">
                  <c:v>-5.3408964462270561</c:v>
                </c:pt>
                <c:pt idx="5">
                  <c:v>10.494622682089435</c:v>
                </c:pt>
                <c:pt idx="6">
                  <c:v>13.583996904136804</c:v>
                </c:pt>
                <c:pt idx="7">
                  <c:v>31.942049711061834</c:v>
                </c:pt>
                <c:pt idx="8">
                  <c:v>29.491345239582444</c:v>
                </c:pt>
                <c:pt idx="9">
                  <c:v>79.050337514483275</c:v>
                </c:pt>
              </c:numCache>
            </c:numRef>
          </c:xVal>
          <c:yVal>
            <c:numRef>
              <c:f>'Calculation of LOD (expt data)'!$D$3:$D$108</c:f>
              <c:numCache>
                <c:formatCode>General</c:formatCode>
                <c:ptCount val="106"/>
                <c:pt idx="0">
                  <c:v>10.967044171877045</c:v>
                </c:pt>
                <c:pt idx="1">
                  <c:v>13.726656204186376</c:v>
                </c:pt>
                <c:pt idx="2">
                  <c:v>21.677432581958747</c:v>
                </c:pt>
                <c:pt idx="3">
                  <c:v>28.050180293931085</c:v>
                </c:pt>
                <c:pt idx="4">
                  <c:v>36.031492686313349</c:v>
                </c:pt>
                <c:pt idx="5">
                  <c:v>51.966735780610378</c:v>
                </c:pt>
                <c:pt idx="6">
                  <c:v>55.153226313827858</c:v>
                </c:pt>
                <c:pt idx="7">
                  <c:v>74.657328755768432</c:v>
                </c:pt>
                <c:pt idx="8">
                  <c:v>71.995613696029238</c:v>
                </c:pt>
                <c:pt idx="9">
                  <c:v>129.29973681762942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'Calculation of LOD (expt data)'!$H$1</c:f>
              <c:strCache>
                <c:ptCount val="1"/>
                <c:pt idx="0">
                  <c:v>sigma_x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'Calculation of LOD (expt data)'!$C$2:$C$108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xVal>
          <c:yVal>
            <c:numRef>
              <c:f>'Calculation of LOD (expt data)'!$F$2:$F$108</c:f>
              <c:numCache>
                <c:formatCode>General</c:formatCode>
                <c:ptCount val="107"/>
                <c:pt idx="0">
                  <c:v>10.07478263517681</c:v>
                </c:pt>
                <c:pt idx="1">
                  <c:v>11.094984248034898</c:v>
                </c:pt>
                <c:pt idx="2">
                  <c:v>14.155589086609162</c:v>
                </c:pt>
                <c:pt idx="3">
                  <c:v>19.256597150899601</c:v>
                </c:pt>
                <c:pt idx="4">
                  <c:v>26.398008440906217</c:v>
                </c:pt>
                <c:pt idx="5">
                  <c:v>35.579822956629009</c:v>
                </c:pt>
                <c:pt idx="6">
                  <c:v>46.802040698067977</c:v>
                </c:pt>
                <c:pt idx="7">
                  <c:v>60.06466166522312</c:v>
                </c:pt>
                <c:pt idx="8">
                  <c:v>75.367685858094433</c:v>
                </c:pt>
                <c:pt idx="9">
                  <c:v>92.711113276681942</c:v>
                </c:pt>
                <c:pt idx="10">
                  <c:v>112.0949439209856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'Calculation of LOD (expt data)'!$A$16:$A$17</c:f>
              <c:numCache>
                <c:formatCode>General</c:formatCode>
                <c:ptCount val="2"/>
                <c:pt idx="0">
                  <c:v>0</c:v>
                </c:pt>
                <c:pt idx="1">
                  <c:v>61.281303154425501</c:v>
                </c:pt>
              </c:numCache>
            </c:numRef>
          </c:xVal>
          <c:yVal>
            <c:numRef>
              <c:f>'Calculation of LOD (expt data)'!$B$16:$B$17</c:f>
              <c:numCache>
                <c:formatCode>General</c:formatCode>
                <c:ptCount val="2"/>
                <c:pt idx="0">
                  <c:v>41.334424793271978</c:v>
                </c:pt>
                <c:pt idx="1">
                  <c:v>41.334424793271978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'Calculation of LOD (expt data)'!$A$16:$A$18</c:f>
              <c:numCache>
                <c:formatCode>General</c:formatCode>
                <c:ptCount val="3"/>
                <c:pt idx="0">
                  <c:v>0</c:v>
                </c:pt>
                <c:pt idx="1">
                  <c:v>61.281303154425501</c:v>
                </c:pt>
                <c:pt idx="2">
                  <c:v>61.281303154425501</c:v>
                </c:pt>
              </c:numCache>
            </c:numRef>
          </c:xVal>
          <c:yVal>
            <c:numRef>
              <c:f>'Calculation of LOD (expt data)'!$B$16:$B$18</c:f>
              <c:numCache>
                <c:formatCode>General</c:formatCode>
                <c:ptCount val="3"/>
                <c:pt idx="0">
                  <c:v>41.334424793271978</c:v>
                </c:pt>
                <c:pt idx="1">
                  <c:v>41.334424793271978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6"/>
          <c:marker>
            <c:symbol val="none"/>
          </c:marker>
          <c:xVal>
            <c:numRef>
              <c:f>'Calculation of LOD (expt data)'!$O$32</c:f>
              <c:numCache>
                <c:formatCode>General</c:formatCode>
                <c:ptCount val="1"/>
              </c:numCache>
            </c:numRef>
          </c:xVal>
          <c:yVal>
            <c:numRef>
              <c:f>'Calculation of LOD (expt data)'!$P$32</c:f>
              <c:numCache>
                <c:formatCode>General</c:formatCode>
                <c:ptCount val="1"/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'Calculation of LOD (expt data)'!$O$32</c:f>
              <c:numCache>
                <c:formatCode>General</c:formatCode>
                <c:ptCount val="1"/>
              </c:numCache>
            </c:numRef>
          </c:xVal>
          <c:yVal>
            <c:numRef>
              <c:f>'Calculation of LOD (expt data)'!$J$32</c:f>
              <c:numCache>
                <c:formatCode>General</c:formatCode>
                <c:ptCount val="1"/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'Calculation of LOD (expt data)'!$O$32</c:f>
              <c:numCache>
                <c:formatCode>General</c:formatCode>
                <c:ptCount val="1"/>
              </c:numCache>
            </c:numRef>
          </c:xVal>
          <c:yVal>
            <c:numRef>
              <c:f>'Calculation of LOD (expt data)'!$K$32</c:f>
              <c:numCache>
                <c:formatCode>General</c:formatCode>
                <c:ptCount val="1"/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'Calculation of LOD (expt data)'!$O$32</c:f>
              <c:numCache>
                <c:formatCode>General</c:formatCode>
                <c:ptCount val="1"/>
              </c:numCache>
            </c:numRef>
          </c:xVal>
          <c:yVal>
            <c:numRef>
              <c:f>'Calculation of LOD (expt data)'!$L$32</c:f>
              <c:numCache>
                <c:formatCode>General</c:formatCode>
                <c:ptCount val="1"/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'Calculation of LOD (expt data)'!$O$32</c:f>
              <c:numCache>
                <c:formatCode>General</c:formatCode>
                <c:ptCount val="1"/>
              </c:numCache>
            </c:numRef>
          </c:xVal>
          <c:yVal>
            <c:numRef>
              <c:f>'Calculation of LOD (expt data)'!$M$32</c:f>
              <c:numCache>
                <c:formatCode>General</c:formatCode>
                <c:ptCount val="1"/>
              </c:numCache>
            </c:numRef>
          </c:yVal>
          <c:smooth val="1"/>
        </c:ser>
        <c:ser>
          <c:idx val="11"/>
          <c:order val="11"/>
          <c:spPr>
            <a:ln w="1905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'Calculation of LOD (expt data)'!$A$37:$A$39</c:f>
              <c:numCache>
                <c:formatCode>General</c:formatCode>
                <c:ptCount val="3"/>
                <c:pt idx="0">
                  <c:v>0</c:v>
                </c:pt>
                <c:pt idx="1">
                  <c:v>63.85632293488608</c:v>
                </c:pt>
                <c:pt idx="2">
                  <c:v>63.85632293488608</c:v>
                </c:pt>
              </c:numCache>
            </c:numRef>
          </c:xVal>
          <c:yVal>
            <c:numRef>
              <c:f>'Calculation of LOD (expt data)'!$B$37:$B$39</c:f>
              <c:numCache>
                <c:formatCode>General</c:formatCode>
                <c:ptCount val="3"/>
                <c:pt idx="0">
                  <c:v>42.647944459855658</c:v>
                </c:pt>
                <c:pt idx="1">
                  <c:v>42.647944459855658</c:v>
                </c:pt>
                <c:pt idx="2">
                  <c:v>0</c:v>
                </c:pt>
              </c:numCache>
            </c:numRef>
          </c:yVal>
          <c:smooth val="0"/>
        </c:ser>
        <c:ser>
          <c:idx val="12"/>
          <c:order val="12"/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'Calculation of LOD (expt data)'!$A$33:$A$35</c:f>
              <c:numCache>
                <c:formatCode>General</c:formatCode>
                <c:ptCount val="3"/>
                <c:pt idx="0">
                  <c:v>0</c:v>
                </c:pt>
                <c:pt idx="1">
                  <c:v>29.136984264690518</c:v>
                </c:pt>
                <c:pt idx="2">
                  <c:v>29.136984264690518</c:v>
                </c:pt>
              </c:numCache>
            </c:numRef>
          </c:xVal>
          <c:yVal>
            <c:numRef>
              <c:f>'Calculation of LOD (expt data)'!$B$33:$B$35</c:f>
              <c:numCache>
                <c:formatCode>General</c:formatCode>
                <c:ptCount val="3"/>
                <c:pt idx="0">
                  <c:v>41.334424793271978</c:v>
                </c:pt>
                <c:pt idx="1">
                  <c:v>41.334424793271978</c:v>
                </c:pt>
                <c:pt idx="2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19050">
              <a:solidFill>
                <a:srgbClr val="00B05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</c:dPt>
          <c:xVal>
            <c:numRef>
              <c:f>'Calculation of LOD (expt data)'!$A$41:$A$43</c:f>
              <c:numCache>
                <c:formatCode>General</c:formatCode>
                <c:ptCount val="3"/>
              </c:numCache>
            </c:numRef>
          </c:xVal>
          <c:yVal>
            <c:numRef>
              <c:f>'Calculation of LOD (expt data)'!$B$41:$B$43</c:f>
              <c:numCache>
                <c:formatCode>General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737904"/>
        <c:axId val="433738464"/>
      </c:scatterChart>
      <c:valAx>
        <c:axId val="43373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738464"/>
        <c:crosses val="autoZero"/>
        <c:crossBetween val="midCat"/>
      </c:valAx>
      <c:valAx>
        <c:axId val="43373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373790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x(LOD) using eq (11)</a:t>
            </a:r>
          </a:p>
        </c:rich>
      </c:tx>
      <c:layout>
        <c:manualLayout>
          <c:xMode val="edge"/>
          <c:yMode val="edge"/>
          <c:x val="0.32298550724637681"/>
          <c:y val="1.80180180180180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956407622960168E-2"/>
          <c:y val="3.675784262730257E-2"/>
          <c:w val="0.88036243295674999"/>
          <c:h val="0.890192336436305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'Calculation of LOD (simul data)'!$B$10</c:f>
                <c:numCache>
                  <c:formatCode>General</c:formatCode>
                  <c:ptCount val="1"/>
                  <c:pt idx="0">
                    <c:v>5.592773206677319</c:v>
                  </c:pt>
                </c:numCache>
              </c:numRef>
            </c:plus>
            <c:minus>
              <c:numRef>
                <c:f>'Calculation of LOD (simul data)'!$B$10</c:f>
                <c:numCache>
                  <c:formatCode>General</c:formatCode>
                  <c:ptCount val="1"/>
                  <c:pt idx="0">
                    <c:v>5.592773206677319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'Calculation of LOD (simul data)'!$K$3:$K$101</c:f>
                <c:numCache>
                  <c:formatCode>General</c:formatCode>
                  <c:ptCount val="99"/>
                  <c:pt idx="0">
                    <c:v>8.7876519855872619</c:v>
                  </c:pt>
                  <c:pt idx="1">
                    <c:v>8.7141582750089075</c:v>
                  </c:pt>
                  <c:pt idx="2">
                    <c:v>8.604124873863281</c:v>
                  </c:pt>
                  <c:pt idx="3">
                    <c:v>8.4772257654606182</c:v>
                  </c:pt>
                  <c:pt idx="4">
                    <c:v>8.3626519245843927</c:v>
                  </c:pt>
                  <c:pt idx="5">
                    <c:v>8.2997513778109457</c:v>
                  </c:pt>
                  <c:pt idx="6">
                    <c:v>8.3369772431294624</c:v>
                  </c:pt>
                  <c:pt idx="7">
                    <c:v>8.5276533699009125</c:v>
                  </c:pt>
                  <c:pt idx="8">
                    <c:v>8.9221530145972885</c:v>
                  </c:pt>
                  <c:pt idx="9">
                    <c:v>9.558861343098382</c:v>
                  </c:pt>
                </c:numCache>
              </c:numRef>
            </c:plus>
            <c:minus>
              <c:numRef>
                <c:f>'Calculation of LOD (simul data)'!$K$3:$K$101</c:f>
                <c:numCache>
                  <c:formatCode>General</c:formatCode>
                  <c:ptCount val="99"/>
                  <c:pt idx="0">
                    <c:v>8.7876519855872619</c:v>
                  </c:pt>
                  <c:pt idx="1">
                    <c:v>8.7141582750089075</c:v>
                  </c:pt>
                  <c:pt idx="2">
                    <c:v>8.604124873863281</c:v>
                  </c:pt>
                  <c:pt idx="3">
                    <c:v>8.4772257654606182</c:v>
                  </c:pt>
                  <c:pt idx="4">
                    <c:v>8.3626519245843927</c:v>
                  </c:pt>
                  <c:pt idx="5">
                    <c:v>8.2997513778109457</c:v>
                  </c:pt>
                  <c:pt idx="6">
                    <c:v>8.3369772431294624</c:v>
                  </c:pt>
                  <c:pt idx="7">
                    <c:v>8.5276533699009125</c:v>
                  </c:pt>
                  <c:pt idx="8">
                    <c:v>8.9221530145972885</c:v>
                  </c:pt>
                  <c:pt idx="9">
                    <c:v>9.558861343098382</c:v>
                  </c:pt>
                </c:numCache>
              </c:numRef>
            </c:minus>
          </c:errBars>
          <c:xVal>
            <c:numRef>
              <c:f>'Calculation of LOD (simul data)'!$F$3:$F$101</c:f>
              <c:numCache>
                <c:formatCode>General</c:formatCode>
                <c:ptCount val="9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</c:numCache>
            </c:numRef>
          </c:xVal>
          <c:yVal>
            <c:numRef>
              <c:f>'Calculation of LOD (simul data)'!$G$3:$G$101</c:f>
              <c:numCache>
                <c:formatCode>General</c:formatCode>
                <c:ptCount val="99"/>
                <c:pt idx="0">
                  <c:v>0.81014539512296468</c:v>
                </c:pt>
                <c:pt idx="1">
                  <c:v>3.6549759056869102</c:v>
                </c:pt>
                <c:pt idx="2">
                  <c:v>8.8514649367596814</c:v>
                </c:pt>
                <c:pt idx="3">
                  <c:v>13.200053571899005</c:v>
                </c:pt>
                <c:pt idx="4">
                  <c:v>26.992920983473166</c:v>
                </c:pt>
                <c:pt idx="5">
                  <c:v>34.324414500754109</c:v>
                </c:pt>
                <c:pt idx="6">
                  <c:v>48.223475853166235</c:v>
                </c:pt>
                <c:pt idx="7">
                  <c:v>52.992364044833131</c:v>
                </c:pt>
                <c:pt idx="8">
                  <c:v>61.920057180228582</c:v>
                </c:pt>
                <c:pt idx="9">
                  <c:v>66.75992655660265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744624"/>
        <c:axId val="433745184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'Calculation of LOD (simul data)'!$O$3:$O$101</c:f>
              <c:numCache>
                <c:formatCode>General</c:formatCode>
                <c:ptCount val="99"/>
                <c:pt idx="0">
                  <c:v>21.063886009466181</c:v>
                </c:pt>
                <c:pt idx="1">
                  <c:v>24.867614306280924</c:v>
                </c:pt>
                <c:pt idx="2">
                  <c:v>31.888307085605337</c:v>
                </c:pt>
                <c:pt idx="3">
                  <c:v>37.658989015305281</c:v>
                </c:pt>
                <c:pt idx="4">
                  <c:v>56.826231987145192</c:v>
                </c:pt>
                <c:pt idx="5">
                  <c:v>67.008434774359657</c:v>
                </c:pt>
                <c:pt idx="6">
                  <c:v>86.781295535593216</c:v>
                </c:pt>
                <c:pt idx="7">
                  <c:v>94.099245950047106</c:v>
                </c:pt>
                <c:pt idx="8">
                  <c:v>107.91158402138795</c:v>
                </c:pt>
                <c:pt idx="9">
                  <c:v>116.66803883393357</c:v>
                </c:pt>
              </c:numCache>
            </c:numRef>
          </c:xVal>
          <c:yVal>
            <c:numRef>
              <c:f>'Calculation of LOD (simul data)'!$G$3:$G$101</c:f>
              <c:numCache>
                <c:formatCode>General</c:formatCode>
                <c:ptCount val="99"/>
                <c:pt idx="0">
                  <c:v>0.81014539512296468</c:v>
                </c:pt>
                <c:pt idx="1">
                  <c:v>3.6549759056869102</c:v>
                </c:pt>
                <c:pt idx="2">
                  <c:v>8.8514649367596814</c:v>
                </c:pt>
                <c:pt idx="3">
                  <c:v>13.200053571899005</c:v>
                </c:pt>
                <c:pt idx="4">
                  <c:v>26.992920983473166</c:v>
                </c:pt>
                <c:pt idx="5">
                  <c:v>34.324414500754109</c:v>
                </c:pt>
                <c:pt idx="6">
                  <c:v>48.223475853166235</c:v>
                </c:pt>
                <c:pt idx="7">
                  <c:v>52.992364044833131</c:v>
                </c:pt>
                <c:pt idx="8">
                  <c:v>61.920057180228582</c:v>
                </c:pt>
                <c:pt idx="9">
                  <c:v>66.75992655660265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'Calculation of LOD (simul data)'!$P$3:$P$101</c:f>
              <c:numCache>
                <c:formatCode>General</c:formatCode>
                <c:ptCount val="99"/>
                <c:pt idx="0">
                  <c:v>-31.662025904057394</c:v>
                </c:pt>
                <c:pt idx="1">
                  <c:v>-27.417335343772525</c:v>
                </c:pt>
                <c:pt idx="2">
                  <c:v>-19.736442157574348</c:v>
                </c:pt>
                <c:pt idx="3">
                  <c:v>-13.204365577458431</c:v>
                </c:pt>
                <c:pt idx="4">
                  <c:v>6.6503204396388327</c:v>
                </c:pt>
                <c:pt idx="5">
                  <c:v>17.209926507493986</c:v>
                </c:pt>
                <c:pt idx="6">
                  <c:v>36.759432076816445</c:v>
                </c:pt>
                <c:pt idx="7">
                  <c:v>42.933325730641627</c:v>
                </c:pt>
                <c:pt idx="8">
                  <c:v>54.378665933804214</c:v>
                </c:pt>
                <c:pt idx="9">
                  <c:v>59.31487077534328</c:v>
                </c:pt>
              </c:numCache>
            </c:numRef>
          </c:xVal>
          <c:yVal>
            <c:numRef>
              <c:f>'Calculation of LOD (simul data)'!$G$3:$G$101</c:f>
              <c:numCache>
                <c:formatCode>General</c:formatCode>
                <c:ptCount val="99"/>
                <c:pt idx="0">
                  <c:v>0.81014539512296468</c:v>
                </c:pt>
                <c:pt idx="1">
                  <c:v>3.6549759056869102</c:v>
                </c:pt>
                <c:pt idx="2">
                  <c:v>8.8514649367596814</c:v>
                </c:pt>
                <c:pt idx="3">
                  <c:v>13.200053571899005</c:v>
                </c:pt>
                <c:pt idx="4">
                  <c:v>26.992920983473166</c:v>
                </c:pt>
                <c:pt idx="5">
                  <c:v>34.324414500754109</c:v>
                </c:pt>
                <c:pt idx="6">
                  <c:v>48.223475853166235</c:v>
                </c:pt>
                <c:pt idx="7">
                  <c:v>52.992364044833131</c:v>
                </c:pt>
                <c:pt idx="8">
                  <c:v>61.920057180228582</c:v>
                </c:pt>
                <c:pt idx="9">
                  <c:v>66.75992655660265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'Calculation of LOD (simul data)'!$I$1</c:f>
              <c:strCache>
                <c:ptCount val="1"/>
                <c:pt idx="0">
                  <c:v>y_fit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'Calculation of LOD (simul data)'!$F$2:$F$101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xVal>
          <c:yVal>
            <c:numRef>
              <c:f>'Calculation of LOD (simul data)'!$I$2:$I$101</c:f>
              <c:numCache>
                <c:formatCode>General</c:formatCode>
                <c:ptCount val="100"/>
                <c:pt idx="0">
                  <c:v>4.5562118291235301</c:v>
                </c:pt>
                <c:pt idx="1">
                  <c:v>5.2631408697398703</c:v>
                </c:pt>
                <c:pt idx="2">
                  <c:v>7.3839279915888927</c:v>
                </c:pt>
                <c:pt idx="3">
                  <c:v>10.918573194670595</c:v>
                </c:pt>
                <c:pt idx="4">
                  <c:v>15.867076478984979</c:v>
                </c:pt>
                <c:pt idx="5">
                  <c:v>22.229437844532043</c:v>
                </c:pt>
                <c:pt idx="6">
                  <c:v>30.005657291311788</c:v>
                </c:pt>
                <c:pt idx="7">
                  <c:v>39.195734819324215</c:v>
                </c:pt>
                <c:pt idx="8">
                  <c:v>49.799670428569328</c:v>
                </c:pt>
                <c:pt idx="9">
                  <c:v>61.817464119047116</c:v>
                </c:pt>
                <c:pt idx="10">
                  <c:v>75.249115890757579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'Calculation of LOD (simul data)'!$A$14:$A$15</c:f>
              <c:numCache>
                <c:formatCode>General</c:formatCode>
                <c:ptCount val="2"/>
                <c:pt idx="0">
                  <c:v>0</c:v>
                </c:pt>
                <c:pt idx="1">
                  <c:v>50.170995468394892</c:v>
                </c:pt>
              </c:numCache>
            </c:numRef>
          </c:xVal>
          <c:yVal>
            <c:numRef>
              <c:f>'Calculation of LOD (simul data)'!$B$14:$B$15</c:f>
              <c:numCache>
                <c:formatCode>General</c:formatCode>
                <c:ptCount val="2"/>
                <c:pt idx="0">
                  <c:v>22.289878675743115</c:v>
                </c:pt>
                <c:pt idx="1">
                  <c:v>22.289878675743115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'Calculation of LOD (simul data)'!$A$15:$A$16</c:f>
              <c:numCache>
                <c:formatCode>General</c:formatCode>
                <c:ptCount val="2"/>
                <c:pt idx="0">
                  <c:v>50.170995468394892</c:v>
                </c:pt>
                <c:pt idx="1">
                  <c:v>50.170995468394892</c:v>
                </c:pt>
              </c:numCache>
            </c:numRef>
          </c:xVal>
          <c:yVal>
            <c:numRef>
              <c:f>'Calculation of LOD (simul data)'!$B$15:$B$16</c:f>
              <c:numCache>
                <c:formatCode>General</c:formatCode>
                <c:ptCount val="2"/>
                <c:pt idx="0">
                  <c:v>22.289878675743115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744624"/>
        <c:axId val="433745184"/>
      </c:scatterChart>
      <c:valAx>
        <c:axId val="43374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745184"/>
        <c:crosses val="autoZero"/>
        <c:crossBetween val="midCat"/>
      </c:valAx>
      <c:valAx>
        <c:axId val="43374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3744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5922524830645"/>
          <c:y val="2.8252405949256341E-2"/>
          <c:w val="0.71833314847756458"/>
          <c:h val="0.934235928842228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'Calculation of LOD (simul data)'!$D$3:$D$101</c:f>
              <c:numCache>
                <c:formatCode>General</c:formatCode>
                <c:ptCount val="99"/>
                <c:pt idx="0">
                  <c:v>-1.0548469249019203</c:v>
                </c:pt>
                <c:pt idx="1">
                  <c:v>-0.63305663404077606</c:v>
                </c:pt>
                <c:pt idx="2">
                  <c:v>-7.7236588110771318E-2</c:v>
                </c:pt>
                <c:pt idx="3">
                  <c:v>-1.1158100640225175</c:v>
                </c:pt>
                <c:pt idx="4">
                  <c:v>0.53146162858829382</c:v>
                </c:pt>
                <c:pt idx="5">
                  <c:v>-0.28359850997611485</c:v>
                </c:pt>
                <c:pt idx="6">
                  <c:v>-0.10062383505439107</c:v>
                </c:pt>
                <c:pt idx="7">
                  <c:v>-1.0938280595572072</c:v>
                </c:pt>
                <c:pt idx="8">
                  <c:v>-1.494563937611342</c:v>
                </c:pt>
                <c:pt idx="9">
                  <c:v>-2.1171216101916612</c:v>
                </c:pt>
              </c:numCache>
            </c:numRef>
          </c:xVal>
          <c:yVal>
            <c:numRef>
              <c:f>'Calculation of LOD (simul data)'!$E$3:$E$101</c:f>
              <c:numCache>
                <c:formatCode>General</c:formatCode>
                <c:ptCount val="99"/>
                <c:pt idx="0">
                  <c:v>-0.48319274760704828</c:v>
                </c:pt>
                <c:pt idx="1">
                  <c:v>1.05474239697334</c:v>
                </c:pt>
                <c:pt idx="2">
                  <c:v>-0.78688818463209453</c:v>
                </c:pt>
                <c:pt idx="3">
                  <c:v>8.7802636935260858E-2</c:v>
                </c:pt>
                <c:pt idx="4">
                  <c:v>-1.8824790314830109</c:v>
                </c:pt>
                <c:pt idx="5">
                  <c:v>-1.4374741465587138</c:v>
                </c:pt>
                <c:pt idx="6">
                  <c:v>-4.0646988512990208E-2</c:v>
                </c:pt>
                <c:pt idx="7">
                  <c:v>-0.22553854683813002</c:v>
                </c:pt>
                <c:pt idx="8">
                  <c:v>-1.2786583711062272</c:v>
                </c:pt>
                <c:pt idx="9">
                  <c:v>0.3119008654847345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063568"/>
        <c:axId val="432064128"/>
      </c:scatterChart>
      <c:valAx>
        <c:axId val="432063568"/>
        <c:scaling>
          <c:orientation val="minMax"/>
          <c:max val="3.5"/>
          <c:min val="-3.5"/>
        </c:scaling>
        <c:delete val="0"/>
        <c:axPos val="b"/>
        <c:numFmt formatCode="General" sourceLinked="1"/>
        <c:majorTickMark val="out"/>
        <c:minorTickMark val="none"/>
        <c:tickLblPos val="nextTo"/>
        <c:crossAx val="432064128"/>
        <c:crosses val="autoZero"/>
        <c:crossBetween val="midCat"/>
      </c:valAx>
      <c:valAx>
        <c:axId val="432064128"/>
        <c:scaling>
          <c:orientation val="minMax"/>
          <c:max val="3.5"/>
          <c:min val="-3.5"/>
        </c:scaling>
        <c:delete val="0"/>
        <c:axPos val="l"/>
        <c:numFmt formatCode="General" sourceLinked="1"/>
        <c:majorTickMark val="out"/>
        <c:minorTickMark val="none"/>
        <c:tickLblPos val="nextTo"/>
        <c:crossAx val="432063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x(LOD) calculated </a:t>
            </a:r>
          </a:p>
          <a:p>
            <a:pPr>
              <a:defRPr/>
            </a:pPr>
            <a:r>
              <a:rPr lang="en-CA"/>
              <a:t>w/ Currie and Svehla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0465961214903904E-2"/>
          <c:y val="2.4222779327471959E-2"/>
          <c:w val="0.89618646937859492"/>
          <c:h val="0.933617221614114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'Eqns from Currie and Svehla'!$B$8</c:f>
                <c:numCache>
                  <c:formatCode>General</c:formatCode>
                  <c:ptCount val="1"/>
                  <c:pt idx="0">
                    <c:v>5.592773206677319</c:v>
                  </c:pt>
                </c:numCache>
              </c:numRef>
            </c:plus>
            <c:minus>
              <c:numRef>
                <c:f>'Eqns from Currie and Svehla'!$B$8</c:f>
                <c:numCache>
                  <c:formatCode>General</c:formatCode>
                  <c:ptCount val="1"/>
                  <c:pt idx="0">
                    <c:v>5.592773206677319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'Eqns from Currie and Svehla'!$L$3:$L$101</c:f>
                <c:numCache>
                  <c:formatCode>General</c:formatCode>
                  <c:ptCount val="99"/>
                  <c:pt idx="0">
                    <c:v>8.7876519855872619</c:v>
                  </c:pt>
                  <c:pt idx="1">
                    <c:v>8.7141582750089075</c:v>
                  </c:pt>
                  <c:pt idx="2">
                    <c:v>8.6041248738632827</c:v>
                  </c:pt>
                  <c:pt idx="3">
                    <c:v>8.4772257654606182</c:v>
                  </c:pt>
                  <c:pt idx="4">
                    <c:v>8.3626519245843927</c:v>
                  </c:pt>
                  <c:pt idx="5">
                    <c:v>8.2997513778109457</c:v>
                  </c:pt>
                  <c:pt idx="6">
                    <c:v>8.3369772431294624</c:v>
                  </c:pt>
                  <c:pt idx="7">
                    <c:v>8.5276533699009125</c:v>
                  </c:pt>
                  <c:pt idx="8">
                    <c:v>8.9221530145972885</c:v>
                  </c:pt>
                  <c:pt idx="9">
                    <c:v>9.5588613430983838</c:v>
                  </c:pt>
                </c:numCache>
              </c:numRef>
            </c:plus>
            <c:minus>
              <c:numRef>
                <c:f>'Eqns from Currie and Svehla'!$L$3:$L$101</c:f>
                <c:numCache>
                  <c:formatCode>General</c:formatCode>
                  <c:ptCount val="99"/>
                  <c:pt idx="0">
                    <c:v>8.7876519855872619</c:v>
                  </c:pt>
                  <c:pt idx="1">
                    <c:v>8.7141582750089075</c:v>
                  </c:pt>
                  <c:pt idx="2">
                    <c:v>8.6041248738632827</c:v>
                  </c:pt>
                  <c:pt idx="3">
                    <c:v>8.4772257654606182</c:v>
                  </c:pt>
                  <c:pt idx="4">
                    <c:v>8.3626519245843927</c:v>
                  </c:pt>
                  <c:pt idx="5">
                    <c:v>8.2997513778109457</c:v>
                  </c:pt>
                  <c:pt idx="6">
                    <c:v>8.3369772431294624</c:v>
                  </c:pt>
                  <c:pt idx="7">
                    <c:v>8.5276533699009125</c:v>
                  </c:pt>
                  <c:pt idx="8">
                    <c:v>8.9221530145972885</c:v>
                  </c:pt>
                  <c:pt idx="9">
                    <c:v>9.5588613430983838</c:v>
                  </c:pt>
                </c:numCache>
              </c:numRef>
            </c:minus>
          </c:errBars>
          <c:xVal>
            <c:numRef>
              <c:f>'Eqns from Currie and Svehla'!$F$3:$F$101</c:f>
              <c:numCache>
                <c:formatCode>General</c:formatCode>
                <c:ptCount val="9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</c:numCache>
            </c:numRef>
          </c:xVal>
          <c:yVal>
            <c:numRef>
              <c:f>'Eqns from Currie and Svehla'!$G$3:$G$101</c:f>
              <c:numCache>
                <c:formatCode>General</c:formatCode>
                <c:ptCount val="99"/>
                <c:pt idx="0">
                  <c:v>0.81014539512296468</c:v>
                </c:pt>
                <c:pt idx="1">
                  <c:v>3.6549759056869102</c:v>
                </c:pt>
                <c:pt idx="2">
                  <c:v>8.8514649367596814</c:v>
                </c:pt>
                <c:pt idx="3">
                  <c:v>13.200053571899005</c:v>
                </c:pt>
                <c:pt idx="4">
                  <c:v>26.992920983473166</c:v>
                </c:pt>
                <c:pt idx="5">
                  <c:v>34.324414500754109</c:v>
                </c:pt>
                <c:pt idx="6">
                  <c:v>48.223475853166235</c:v>
                </c:pt>
                <c:pt idx="7">
                  <c:v>52.992364044833131</c:v>
                </c:pt>
                <c:pt idx="8">
                  <c:v>61.920057180228582</c:v>
                </c:pt>
                <c:pt idx="9">
                  <c:v>66.75992655660265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069728"/>
        <c:axId val="432070288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'Eqns from Currie and Svehla'!$O$3:$O$101</c:f>
              <c:numCache>
                <c:formatCode>General</c:formatCode>
                <c:ptCount val="99"/>
                <c:pt idx="0">
                  <c:v>21.063886009466181</c:v>
                </c:pt>
                <c:pt idx="1">
                  <c:v>24.867614306280924</c:v>
                </c:pt>
                <c:pt idx="2">
                  <c:v>31.888307085605341</c:v>
                </c:pt>
                <c:pt idx="3">
                  <c:v>37.658989015305281</c:v>
                </c:pt>
                <c:pt idx="4">
                  <c:v>56.826231987145192</c:v>
                </c:pt>
                <c:pt idx="5">
                  <c:v>67.008434774359657</c:v>
                </c:pt>
                <c:pt idx="6">
                  <c:v>86.781295535593216</c:v>
                </c:pt>
                <c:pt idx="7">
                  <c:v>94.099245950047106</c:v>
                </c:pt>
                <c:pt idx="8">
                  <c:v>107.91158402138795</c:v>
                </c:pt>
                <c:pt idx="9">
                  <c:v>116.66803883393357</c:v>
                </c:pt>
              </c:numCache>
            </c:numRef>
          </c:xVal>
          <c:yVal>
            <c:numRef>
              <c:f>'Eqns from Currie and Svehla'!$G$3:$G$101</c:f>
              <c:numCache>
                <c:formatCode>General</c:formatCode>
                <c:ptCount val="99"/>
                <c:pt idx="0">
                  <c:v>0.81014539512296468</c:v>
                </c:pt>
                <c:pt idx="1">
                  <c:v>3.6549759056869102</c:v>
                </c:pt>
                <c:pt idx="2">
                  <c:v>8.8514649367596814</c:v>
                </c:pt>
                <c:pt idx="3">
                  <c:v>13.200053571899005</c:v>
                </c:pt>
                <c:pt idx="4">
                  <c:v>26.992920983473166</c:v>
                </c:pt>
                <c:pt idx="5">
                  <c:v>34.324414500754109</c:v>
                </c:pt>
                <c:pt idx="6">
                  <c:v>48.223475853166235</c:v>
                </c:pt>
                <c:pt idx="7">
                  <c:v>52.992364044833131</c:v>
                </c:pt>
                <c:pt idx="8">
                  <c:v>61.920057180228582</c:v>
                </c:pt>
                <c:pt idx="9">
                  <c:v>66.75992655660265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'Eqns from Currie and Svehla'!$P$3:$P$101</c:f>
              <c:numCache>
                <c:formatCode>General</c:formatCode>
                <c:ptCount val="99"/>
                <c:pt idx="0">
                  <c:v>-31.662025904057394</c:v>
                </c:pt>
                <c:pt idx="1">
                  <c:v>-27.417335343772525</c:v>
                </c:pt>
                <c:pt idx="2">
                  <c:v>-19.736442157574352</c:v>
                </c:pt>
                <c:pt idx="3">
                  <c:v>-13.204365577458431</c:v>
                </c:pt>
                <c:pt idx="4">
                  <c:v>6.6503204396388327</c:v>
                </c:pt>
                <c:pt idx="5">
                  <c:v>17.209926507493986</c:v>
                </c:pt>
                <c:pt idx="6">
                  <c:v>36.759432076816445</c:v>
                </c:pt>
                <c:pt idx="7">
                  <c:v>42.933325730641627</c:v>
                </c:pt>
                <c:pt idx="8">
                  <c:v>54.378665933804214</c:v>
                </c:pt>
                <c:pt idx="9">
                  <c:v>59.314870775343273</c:v>
                </c:pt>
              </c:numCache>
            </c:numRef>
          </c:xVal>
          <c:yVal>
            <c:numRef>
              <c:f>'Eqns from Currie and Svehla'!$G$3:$G$101</c:f>
              <c:numCache>
                <c:formatCode>General</c:formatCode>
                <c:ptCount val="99"/>
                <c:pt idx="0">
                  <c:v>0.81014539512296468</c:v>
                </c:pt>
                <c:pt idx="1">
                  <c:v>3.6549759056869102</c:v>
                </c:pt>
                <c:pt idx="2">
                  <c:v>8.8514649367596814</c:v>
                </c:pt>
                <c:pt idx="3">
                  <c:v>13.200053571899005</c:v>
                </c:pt>
                <c:pt idx="4">
                  <c:v>26.992920983473166</c:v>
                </c:pt>
                <c:pt idx="5">
                  <c:v>34.324414500754109</c:v>
                </c:pt>
                <c:pt idx="6">
                  <c:v>48.223475853166235</c:v>
                </c:pt>
                <c:pt idx="7">
                  <c:v>52.992364044833131</c:v>
                </c:pt>
                <c:pt idx="8">
                  <c:v>61.920057180228582</c:v>
                </c:pt>
                <c:pt idx="9">
                  <c:v>66.75992655660265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'Eqns from Currie and Svehla'!$I$1</c:f>
              <c:strCache>
                <c:ptCount val="1"/>
                <c:pt idx="0">
                  <c:v>y_fit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'Eqns from Currie and Svehla'!$F$2:$F$101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xVal>
          <c:yVal>
            <c:numRef>
              <c:f>'Eqns from Currie and Svehla'!$I$2:$I$101</c:f>
              <c:numCache>
                <c:formatCode>General</c:formatCode>
                <c:ptCount val="100"/>
                <c:pt idx="0">
                  <c:v>4.5562118291235301</c:v>
                </c:pt>
                <c:pt idx="1">
                  <c:v>5.2631408697398703</c:v>
                </c:pt>
                <c:pt idx="2">
                  <c:v>7.3839279915888927</c:v>
                </c:pt>
                <c:pt idx="3">
                  <c:v>10.918573194670595</c:v>
                </c:pt>
                <c:pt idx="4">
                  <c:v>15.867076478984979</c:v>
                </c:pt>
                <c:pt idx="5">
                  <c:v>22.229437844532043</c:v>
                </c:pt>
                <c:pt idx="6">
                  <c:v>30.005657291311788</c:v>
                </c:pt>
                <c:pt idx="7">
                  <c:v>39.195734819324215</c:v>
                </c:pt>
                <c:pt idx="8">
                  <c:v>49.799670428569328</c:v>
                </c:pt>
                <c:pt idx="9">
                  <c:v>61.817464119047116</c:v>
                </c:pt>
                <c:pt idx="10">
                  <c:v>75.249115890757579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'Eqns from Currie and Svehla'!$A$17:$A$18</c:f>
              <c:numCache>
                <c:formatCode>General</c:formatCode>
                <c:ptCount val="2"/>
                <c:pt idx="0">
                  <c:v>0</c:v>
                </c:pt>
                <c:pt idx="1">
                  <c:v>51.514291712854813</c:v>
                </c:pt>
              </c:numCache>
            </c:numRef>
          </c:xVal>
          <c:yVal>
            <c:numRef>
              <c:f>'Eqns from Currie and Svehla'!$B$17:$B$18</c:f>
              <c:numCache>
                <c:formatCode>General</c:formatCode>
                <c:ptCount val="2"/>
                <c:pt idx="0">
                  <c:v>23.247483101114021</c:v>
                </c:pt>
                <c:pt idx="1">
                  <c:v>23.247483101114021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'Eqns from Currie and Svehla'!$A$18:$A$19</c:f>
              <c:numCache>
                <c:formatCode>General</c:formatCode>
                <c:ptCount val="2"/>
                <c:pt idx="0">
                  <c:v>51.514291712854813</c:v>
                </c:pt>
                <c:pt idx="1">
                  <c:v>51.514291712854813</c:v>
                </c:pt>
              </c:numCache>
            </c:numRef>
          </c:xVal>
          <c:yVal>
            <c:numRef>
              <c:f>'Eqns from Currie and Svehla'!$B$18:$B$19</c:f>
              <c:numCache>
                <c:formatCode>General</c:formatCode>
                <c:ptCount val="2"/>
                <c:pt idx="0">
                  <c:v>23.247483101114021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069728"/>
        <c:axId val="432070288"/>
      </c:scatterChart>
      <c:valAx>
        <c:axId val="4320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070288"/>
        <c:crosses val="autoZero"/>
        <c:crossBetween val="midCat"/>
      </c:valAx>
      <c:valAx>
        <c:axId val="43207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2069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99132717106013E-2"/>
          <c:y val="2.8252405949256341E-2"/>
          <c:w val="0.88261782494579477"/>
          <c:h val="0.934235928842228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'Calculation of LOD (simul data)'!$D$3:$D$11</c:f>
              <c:numCache>
                <c:formatCode>General</c:formatCode>
                <c:ptCount val="9"/>
                <c:pt idx="0">
                  <c:v>-1.0548469249019203</c:v>
                </c:pt>
                <c:pt idx="1">
                  <c:v>-0.63305663404077606</c:v>
                </c:pt>
                <c:pt idx="2">
                  <c:v>-7.7236588110771318E-2</c:v>
                </c:pt>
                <c:pt idx="3">
                  <c:v>-1.1158100640225175</c:v>
                </c:pt>
                <c:pt idx="4">
                  <c:v>0.53146162858829382</c:v>
                </c:pt>
                <c:pt idx="5">
                  <c:v>-0.28359850997611485</c:v>
                </c:pt>
                <c:pt idx="6">
                  <c:v>-0.10062383505439107</c:v>
                </c:pt>
                <c:pt idx="7">
                  <c:v>-1.0938280595572072</c:v>
                </c:pt>
                <c:pt idx="8">
                  <c:v>-1.494563937611342</c:v>
                </c:pt>
              </c:numCache>
            </c:numRef>
          </c:xVal>
          <c:yVal>
            <c:numRef>
              <c:f>'Calculation of LOD (simul data)'!$E$3:$E$11</c:f>
              <c:numCache>
                <c:formatCode>General</c:formatCode>
                <c:ptCount val="9"/>
                <c:pt idx="0">
                  <c:v>-0.48319274760704828</c:v>
                </c:pt>
                <c:pt idx="1">
                  <c:v>1.05474239697334</c:v>
                </c:pt>
                <c:pt idx="2">
                  <c:v>-0.78688818463209453</c:v>
                </c:pt>
                <c:pt idx="3">
                  <c:v>8.7802636935260858E-2</c:v>
                </c:pt>
                <c:pt idx="4">
                  <c:v>-1.8824790314830109</c:v>
                </c:pt>
                <c:pt idx="5">
                  <c:v>-1.4374741465587138</c:v>
                </c:pt>
                <c:pt idx="6">
                  <c:v>-4.0646988512990208E-2</c:v>
                </c:pt>
                <c:pt idx="7">
                  <c:v>-0.22553854683813002</c:v>
                </c:pt>
                <c:pt idx="8">
                  <c:v>-1.2786583711062272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073088"/>
        <c:axId val="432073648"/>
      </c:scatterChart>
      <c:valAx>
        <c:axId val="4320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073648"/>
        <c:crosses val="autoZero"/>
        <c:crossBetween val="midCat"/>
      </c:valAx>
      <c:valAx>
        <c:axId val="432073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2073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166688</xdr:colOff>
      <xdr:row>16</xdr:row>
      <xdr:rowOff>47623</xdr:rowOff>
    </xdr:from>
    <xdr:to>
      <xdr:col>11</xdr:col>
      <xdr:colOff>750093</xdr:colOff>
      <xdr:row>43</xdr:row>
      <xdr:rowOff>47623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133350</xdr:rowOff>
        </xdr:from>
        <xdr:to>
          <xdr:col>16</xdr:col>
          <xdr:colOff>247650</xdr:colOff>
          <xdr:row>22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571500</xdr:colOff>
          <xdr:row>13</xdr:row>
          <xdr:rowOff>152400</xdr:rowOff>
        </xdr:from>
        <xdr:to>
          <xdr:col>18</xdr:col>
          <xdr:colOff>533400</xdr:colOff>
          <xdr:row>17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14</xdr:row>
      <xdr:rowOff>9525</xdr:rowOff>
    </xdr:from>
    <xdr:to>
      <xdr:col>12</xdr:col>
      <xdr:colOff>190500</xdr:colOff>
      <xdr:row>36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</xdr:colOff>
      <xdr:row>13</xdr:row>
      <xdr:rowOff>104775</xdr:rowOff>
    </xdr:from>
    <xdr:to>
      <xdr:col>4</xdr:col>
      <xdr:colOff>590550</xdr:colOff>
      <xdr:row>19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30</xdr:row>
          <xdr:rowOff>38100</xdr:rowOff>
        </xdr:from>
        <xdr:to>
          <xdr:col>1</xdr:col>
          <xdr:colOff>171450</xdr:colOff>
          <xdr:row>33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25</xdr:row>
          <xdr:rowOff>76200</xdr:rowOff>
        </xdr:from>
        <xdr:to>
          <xdr:col>4</xdr:col>
          <xdr:colOff>295275</xdr:colOff>
          <xdr:row>29</xdr:row>
          <xdr:rowOff>114300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1952625</xdr:colOff>
      <xdr:row>38</xdr:row>
      <xdr:rowOff>57150</xdr:rowOff>
    </xdr:from>
    <xdr:ext cx="184731" cy="264560"/>
    <xdr:sp macro="" textlink="">
      <xdr:nvSpPr>
        <xdr:cNvPr id="3" name="TextBox 2"/>
        <xdr:cNvSpPr txBox="1"/>
      </xdr:nvSpPr>
      <xdr:spPr>
        <a:xfrm>
          <a:off x="1952625" y="73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22</xdr:row>
      <xdr:rowOff>9525</xdr:rowOff>
    </xdr:from>
    <xdr:to>
      <xdr:col>13</xdr:col>
      <xdr:colOff>295274</xdr:colOff>
      <xdr:row>44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752474</xdr:colOff>
      <xdr:row>16</xdr:row>
      <xdr:rowOff>76199</xdr:rowOff>
    </xdr:from>
    <xdr:to>
      <xdr:col>15</xdr:col>
      <xdr:colOff>533400</xdr:colOff>
      <xdr:row>24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8"/>
  <sheetViews>
    <sheetView tabSelected="1" zoomScale="80" zoomScaleNormal="80" workbookViewId="0">
      <selection activeCell="O44" sqref="O44"/>
    </sheetView>
  </sheetViews>
  <sheetFormatPr defaultRowHeight="15" x14ac:dyDescent="0.25"/>
  <cols>
    <col min="1" max="1" width="42.85546875" customWidth="1"/>
    <col min="2" max="2" width="10.7109375" bestFit="1" customWidth="1"/>
    <col min="3" max="3" width="16.42578125" style="59" customWidth="1"/>
    <col min="4" max="4" width="18" style="59" customWidth="1"/>
    <col min="7" max="7" width="7" customWidth="1"/>
    <col min="8" max="8" width="12.85546875" customWidth="1"/>
    <col min="10" max="10" width="12.5703125" customWidth="1"/>
    <col min="12" max="12" width="12" bestFit="1" customWidth="1"/>
    <col min="14" max="14" width="13.85546875" customWidth="1"/>
    <col min="15" max="15" width="16.140625" customWidth="1"/>
    <col min="16" max="16" width="12.140625" customWidth="1"/>
    <col min="21" max="21" width="12" bestFit="1" customWidth="1"/>
    <col min="22" max="22" width="13.7109375" bestFit="1" customWidth="1"/>
    <col min="24" max="24" width="12" bestFit="1" customWidth="1"/>
  </cols>
  <sheetData>
    <row r="1" spans="1:27" s="15" customFormat="1" x14ac:dyDescent="0.25">
      <c r="C1" s="50" t="s">
        <v>19</v>
      </c>
      <c r="D1" s="50" t="s">
        <v>20</v>
      </c>
      <c r="E1" s="17" t="s">
        <v>9</v>
      </c>
      <c r="F1" s="17" t="s">
        <v>8</v>
      </c>
      <c r="G1" s="17" t="s">
        <v>3</v>
      </c>
      <c r="H1" s="17" t="s">
        <v>4</v>
      </c>
      <c r="I1" s="17" t="s">
        <v>43</v>
      </c>
      <c r="J1" s="17" t="s">
        <v>11</v>
      </c>
      <c r="K1" s="16" t="s">
        <v>45</v>
      </c>
      <c r="L1" s="17" t="s">
        <v>12</v>
      </c>
      <c r="M1" s="16" t="s">
        <v>44</v>
      </c>
      <c r="N1" s="17" t="s">
        <v>7</v>
      </c>
      <c r="O1" s="17" t="s">
        <v>10</v>
      </c>
      <c r="P1" s="18" t="s">
        <v>10</v>
      </c>
    </row>
    <row r="2" spans="1:27" x14ac:dyDescent="0.25">
      <c r="A2" s="19" t="s">
        <v>24</v>
      </c>
      <c r="B2" s="53">
        <v>3</v>
      </c>
      <c r="C2" s="51">
        <f>'Calculation of LOD (simul data)'!F2</f>
        <v>0</v>
      </c>
      <c r="D2" s="51"/>
      <c r="E2" s="3"/>
      <c r="F2" s="3">
        <f>m*C2+b</f>
        <v>10.07478263517681</v>
      </c>
      <c r="G2" s="3"/>
      <c r="H2" s="3"/>
      <c r="I2" s="3"/>
      <c r="J2" s="3"/>
      <c r="K2" s="63"/>
      <c r="L2" s="3"/>
      <c r="N2" s="3"/>
      <c r="O2" s="3"/>
      <c r="P2" s="3"/>
      <c r="T2" s="15"/>
    </row>
    <row r="3" spans="1:27" x14ac:dyDescent="0.25">
      <c r="A3" s="19" t="s">
        <v>6</v>
      </c>
      <c r="B3" s="43">
        <f>COUNT(D2:D1048576)</f>
        <v>10</v>
      </c>
      <c r="C3" s="51">
        <f>'Calculation of LOD (simul data)'!F3</f>
        <v>1</v>
      </c>
      <c r="D3" s="51">
        <v>10.967044171877045</v>
      </c>
      <c r="E3" s="3">
        <f>(D3-b)/m</f>
        <v>0.8745933406246742</v>
      </c>
      <c r="F3" s="3">
        <f>m*C3+b</f>
        <v>11.094984248034898</v>
      </c>
      <c r="G3" s="3">
        <f t="shared" ref="G3:G11" si="0">C3^2</f>
        <v>1</v>
      </c>
      <c r="H3" s="3">
        <f t="shared" ref="H3:H12" si="1">sigma_y/ABS(m)*SQRT(1/k+E3^2*n/D+SUM($G$2:$G$107)/D-2*E3*SUM($C$2:$C$107)/D)</f>
        <v>10.792014260757881</v>
      </c>
      <c r="I3" s="3">
        <f t="shared" ref="I3:I10" si="2">sigma_y</f>
        <v>9.9085327802193319</v>
      </c>
      <c r="J3" s="3">
        <f t="shared" ref="J3:J11" si="3">E3+t*H3</f>
        <v>33.250636122898314</v>
      </c>
      <c r="K3">
        <f t="shared" ref="K3:K11" si="4">D3</f>
        <v>10.967044171877045</v>
      </c>
      <c r="L3" s="3">
        <f t="shared" ref="L3:L11" si="5">E3-t*H3</f>
        <v>-31.501449441648969</v>
      </c>
      <c r="M3">
        <f t="shared" ref="M3:M11" si="6">D3</f>
        <v>10.967044171877045</v>
      </c>
      <c r="N3" s="3">
        <f t="shared" ref="N3:N11" si="7">(D3-m*C3-b)^2</f>
        <v>1.6368663087277018E-2</v>
      </c>
      <c r="O3" s="3">
        <f t="shared" ref="O3:O11" si="8">E3+H3</f>
        <v>11.666607601382555</v>
      </c>
      <c r="P3" s="3">
        <f t="shared" ref="P3:P11" si="9">E3-H3</f>
        <v>-9.9174209201332069</v>
      </c>
      <c r="T3" s="27"/>
      <c r="U3" s="27"/>
      <c r="V3" s="27"/>
      <c r="W3" s="27"/>
      <c r="X3" s="27"/>
      <c r="Y3" s="27"/>
      <c r="Z3" s="27"/>
      <c r="AA3" s="27"/>
    </row>
    <row r="4" spans="1:27" ht="15.75" thickBot="1" x14ac:dyDescent="0.3">
      <c r="A4" s="19" t="s">
        <v>5</v>
      </c>
      <c r="B4" s="53">
        <v>1</v>
      </c>
      <c r="C4" s="51">
        <f>'Calculation of LOD (simul data)'!F4</f>
        <v>4</v>
      </c>
      <c r="D4" s="51">
        <v>13.726656204186376</v>
      </c>
      <c r="E4" s="3">
        <f t="shared" ref="E4:E11" si="10">(D4-b)/m</f>
        <v>3.5795606701491751</v>
      </c>
      <c r="F4" s="3">
        <f t="shared" ref="F4:F10" si="11">m*C4+b</f>
        <v>14.155589086609162</v>
      </c>
      <c r="G4" s="3">
        <f t="shared" si="0"/>
        <v>16</v>
      </c>
      <c r="H4" s="3">
        <f t="shared" si="1"/>
        <v>10.710108102245387</v>
      </c>
      <c r="I4" s="3">
        <f t="shared" si="2"/>
        <v>9.9085327802193319</v>
      </c>
      <c r="J4" s="3">
        <f t="shared" si="3"/>
        <v>35.709884976885341</v>
      </c>
      <c r="K4">
        <f t="shared" si="4"/>
        <v>13.726656204186376</v>
      </c>
      <c r="L4" s="3">
        <f t="shared" si="5"/>
        <v>-28.550763636586989</v>
      </c>
      <c r="M4">
        <f t="shared" si="6"/>
        <v>13.726656204186376</v>
      </c>
      <c r="N4" s="3">
        <f t="shared" si="7"/>
        <v>0.18398341762351883</v>
      </c>
      <c r="O4" s="3">
        <f t="shared" si="8"/>
        <v>14.289668772394563</v>
      </c>
      <c r="P4" s="3">
        <f t="shared" si="9"/>
        <v>-7.1305474320962121</v>
      </c>
    </row>
    <row r="5" spans="1:27" x14ac:dyDescent="0.25">
      <c r="A5" s="12" t="s">
        <v>14</v>
      </c>
      <c r="B5" s="9">
        <f>INTERCEPT(D2:D107,C2:C107)</f>
        <v>10.07478263517681</v>
      </c>
      <c r="C5" s="51">
        <f>'Calculation of LOD (simul data)'!F5</f>
        <v>9</v>
      </c>
      <c r="D5" s="51">
        <v>21.677432581958747</v>
      </c>
      <c r="E5" s="3">
        <f t="shared" si="10"/>
        <v>11.372899043236357</v>
      </c>
      <c r="F5" s="3">
        <f t="shared" si="11"/>
        <v>19.256597150899601</v>
      </c>
      <c r="G5" s="3">
        <f t="shared" si="0"/>
        <v>81</v>
      </c>
      <c r="H5" s="3">
        <f t="shared" si="1"/>
        <v>10.505550845801075</v>
      </c>
      <c r="I5" s="3">
        <f t="shared" si="2"/>
        <v>9.9085327802193319</v>
      </c>
      <c r="J5" s="3">
        <f t="shared" si="3"/>
        <v>42.889551580639584</v>
      </c>
      <c r="K5">
        <f t="shared" si="4"/>
        <v>21.677432581958747</v>
      </c>
      <c r="L5" s="3">
        <f t="shared" si="5"/>
        <v>-20.143753494166866</v>
      </c>
      <c r="M5">
        <f t="shared" si="6"/>
        <v>21.677432581958747</v>
      </c>
      <c r="N5" s="3">
        <f t="shared" si="7"/>
        <v>5.8604441842713211</v>
      </c>
      <c r="O5" s="3">
        <f t="shared" si="8"/>
        <v>21.878449889037434</v>
      </c>
      <c r="P5" s="3">
        <f t="shared" si="9"/>
        <v>0.86734819743528213</v>
      </c>
    </row>
    <row r="6" spans="1:27" x14ac:dyDescent="0.25">
      <c r="A6" s="13" t="s">
        <v>15</v>
      </c>
      <c r="B6" s="10">
        <f>SLOPE(D2:D107,C2:C107)</f>
        <v>1.020201612858088</v>
      </c>
      <c r="C6" s="51">
        <f>'Calculation of LOD (simul data)'!F6</f>
        <v>16</v>
      </c>
      <c r="D6" s="51">
        <v>28.050180293931085</v>
      </c>
      <c r="E6" s="3">
        <f t="shared" si="10"/>
        <v>17.619456225320327</v>
      </c>
      <c r="F6" s="3">
        <f t="shared" si="11"/>
        <v>26.398008440906217</v>
      </c>
      <c r="G6" s="3">
        <f t="shared" si="0"/>
        <v>256</v>
      </c>
      <c r="H6" s="3">
        <f t="shared" si="1"/>
        <v>10.376667201865343</v>
      </c>
      <c r="I6" s="3">
        <f t="shared" si="2"/>
        <v>9.9085327802193319</v>
      </c>
      <c r="J6" s="3">
        <f t="shared" si="3"/>
        <v>48.749457830916356</v>
      </c>
      <c r="K6">
        <f t="shared" si="4"/>
        <v>28.050180293931085</v>
      </c>
      <c r="L6" s="3">
        <f t="shared" si="5"/>
        <v>-13.510545380275701</v>
      </c>
      <c r="M6">
        <f t="shared" si="6"/>
        <v>28.050180293931085</v>
      </c>
      <c r="N6" s="3">
        <f t="shared" si="7"/>
        <v>2.7296718319276252</v>
      </c>
      <c r="O6" s="3">
        <f t="shared" si="8"/>
        <v>27.996123427185672</v>
      </c>
      <c r="P6" s="3">
        <f t="shared" si="9"/>
        <v>7.2427890234549839</v>
      </c>
    </row>
    <row r="7" spans="1:27" x14ac:dyDescent="0.25">
      <c r="A7" s="13" t="s">
        <v>16</v>
      </c>
      <c r="B7" s="10">
        <f>SQRT(B10^2*n/D)</f>
        <v>9.664906617230011E-2</v>
      </c>
      <c r="C7" s="51">
        <f>'Calculation of LOD (simul data)'!F7</f>
        <v>25</v>
      </c>
      <c r="D7" s="51">
        <v>36.031492686313349</v>
      </c>
      <c r="E7" s="3">
        <f t="shared" si="10"/>
        <v>25.442725951411692</v>
      </c>
      <c r="F7" s="3">
        <f t="shared" si="11"/>
        <v>35.579822956629009</v>
      </c>
      <c r="G7" s="3">
        <f t="shared" si="0"/>
        <v>625</v>
      </c>
      <c r="H7" s="3">
        <f t="shared" si="1"/>
        <v>10.261207465879583</v>
      </c>
      <c r="I7" s="3">
        <f t="shared" si="2"/>
        <v>9.9085327802193319</v>
      </c>
      <c r="J7" s="3">
        <f t="shared" si="3"/>
        <v>56.22634834905044</v>
      </c>
      <c r="K7">
        <f t="shared" si="4"/>
        <v>36.031492686313349</v>
      </c>
      <c r="L7" s="3">
        <f t="shared" si="5"/>
        <v>-5.3408964462270561</v>
      </c>
      <c r="M7">
        <f t="shared" si="6"/>
        <v>36.031492686313349</v>
      </c>
      <c r="N7" s="3">
        <f t="shared" si="7"/>
        <v>0.2040055447131251</v>
      </c>
      <c r="O7" s="3">
        <f t="shared" si="8"/>
        <v>35.703933417291275</v>
      </c>
      <c r="P7" s="3">
        <f t="shared" si="9"/>
        <v>15.181518485532109</v>
      </c>
    </row>
    <row r="8" spans="1:27" x14ac:dyDescent="0.25">
      <c r="A8" s="13" t="s">
        <v>17</v>
      </c>
      <c r="B8" s="10">
        <f>RSQ(D2:D107,C2:C107)</f>
        <v>0.93301149375598458</v>
      </c>
      <c r="C8" s="51">
        <f>'Calculation of LOD (simul data)'!F8</f>
        <v>36</v>
      </c>
      <c r="D8" s="51">
        <v>51.966735780610378</v>
      </c>
      <c r="E8" s="3">
        <f t="shared" si="10"/>
        <v>41.062425914102938</v>
      </c>
      <c r="F8" s="3">
        <f t="shared" si="11"/>
        <v>46.802040698067977</v>
      </c>
      <c r="G8" s="3">
        <f t="shared" si="0"/>
        <v>1296</v>
      </c>
      <c r="H8" s="3">
        <f t="shared" si="1"/>
        <v>10.189267744004502</v>
      </c>
      <c r="I8" s="3">
        <f>sigma_y</f>
        <v>9.9085327802193319</v>
      </c>
      <c r="J8" s="3">
        <f t="shared" si="3"/>
        <v>71.630229146116449</v>
      </c>
      <c r="K8">
        <f t="shared" si="4"/>
        <v>51.966735780610378</v>
      </c>
      <c r="L8" s="3">
        <f t="shared" si="5"/>
        <v>10.494622682089435</v>
      </c>
      <c r="M8">
        <f t="shared" si="6"/>
        <v>51.966735780610378</v>
      </c>
      <c r="N8" s="3">
        <f t="shared" si="7"/>
        <v>26.674075295637664</v>
      </c>
      <c r="O8" s="3">
        <f t="shared" si="8"/>
        <v>51.251693658107442</v>
      </c>
      <c r="P8" s="3">
        <f t="shared" si="9"/>
        <v>30.873158170098435</v>
      </c>
    </row>
    <row r="9" spans="1:27" x14ac:dyDescent="0.25">
      <c r="A9" s="13" t="s">
        <v>2</v>
      </c>
      <c r="B9" s="10">
        <f>SUM(G2:G107)*B3-SUM(C2:C107)^2</f>
        <v>105105</v>
      </c>
      <c r="C9" s="51">
        <f>'Calculation of LOD (simul data)'!F9</f>
        <v>49</v>
      </c>
      <c r="D9" s="51">
        <v>55.153226313827858</v>
      </c>
      <c r="E9" s="3">
        <f t="shared" si="10"/>
        <v>44.185818871981674</v>
      </c>
      <c r="F9" s="3">
        <f t="shared" si="11"/>
        <v>60.06466166522312</v>
      </c>
      <c r="G9" s="3">
        <f t="shared" si="0"/>
        <v>2401</v>
      </c>
      <c r="H9" s="3">
        <f t="shared" si="1"/>
        <v>10.200607322614957</v>
      </c>
      <c r="I9" s="3">
        <f t="shared" si="2"/>
        <v>9.9085327802193319</v>
      </c>
      <c r="J9" s="3">
        <f t="shared" si="3"/>
        <v>74.787640839826537</v>
      </c>
      <c r="K9">
        <f t="shared" si="4"/>
        <v>55.153226313827858</v>
      </c>
      <c r="L9" s="3">
        <f t="shared" si="5"/>
        <v>13.583996904136804</v>
      </c>
      <c r="M9">
        <f t="shared" si="6"/>
        <v>55.153226313827858</v>
      </c>
      <c r="N9" s="3">
        <f t="shared" si="7"/>
        <v>24.122197210935102</v>
      </c>
      <c r="O9" s="3">
        <f t="shared" si="8"/>
        <v>54.386426194596631</v>
      </c>
      <c r="P9" s="3">
        <f t="shared" si="9"/>
        <v>33.985211549366717</v>
      </c>
    </row>
    <row r="10" spans="1:27" ht="15.75" thickBot="1" x14ac:dyDescent="0.3">
      <c r="A10" s="13" t="s">
        <v>18</v>
      </c>
      <c r="B10" s="10">
        <f>SQRT(SUM(N2:N107)/(n-2))</f>
        <v>9.9085327802193319</v>
      </c>
      <c r="C10" s="51">
        <f>'Calculation of LOD (simul data)'!F10</f>
        <v>64</v>
      </c>
      <c r="D10" s="51">
        <v>74.657328755768432</v>
      </c>
      <c r="E10" s="3">
        <f t="shared" si="10"/>
        <v>63.303709096934327</v>
      </c>
      <c r="F10" s="3">
        <f t="shared" si="11"/>
        <v>75.367685858094433</v>
      </c>
      <c r="G10" s="3">
        <f t="shared" si="0"/>
        <v>4096</v>
      </c>
      <c r="H10" s="3">
        <f t="shared" si="1"/>
        <v>10.453886461957497</v>
      </c>
      <c r="I10" s="3">
        <f t="shared" si="2"/>
        <v>9.9085327802193319</v>
      </c>
      <c r="J10" s="3">
        <f t="shared" si="3"/>
        <v>94.665368482806826</v>
      </c>
      <c r="K10">
        <f t="shared" si="4"/>
        <v>74.657328755768432</v>
      </c>
      <c r="L10" s="3">
        <f t="shared" si="5"/>
        <v>31.942049711061834</v>
      </c>
      <c r="M10">
        <f t="shared" si="6"/>
        <v>74.657328755768432</v>
      </c>
      <c r="N10" s="3">
        <f t="shared" si="7"/>
        <v>0.50460721282500165</v>
      </c>
      <c r="O10" s="3">
        <f t="shared" si="8"/>
        <v>73.757595558891822</v>
      </c>
      <c r="P10" s="3">
        <f t="shared" si="9"/>
        <v>52.849822634976832</v>
      </c>
    </row>
    <row r="11" spans="1:27" x14ac:dyDescent="0.25">
      <c r="A11" s="70" t="s">
        <v>58</v>
      </c>
      <c r="B11" s="71">
        <f>2/D/((n/D-ABS(m)^2/t^2/sigma_y^2))*(SUM(C2:C107)-SQRT(SUM(C2:C107)^2-D^2*(n/D-ABS(m)^2/t^2/sigma_y^2)*(SUM(G2:G107)/D+1/k)))</f>
        <v>61.281303154425501</v>
      </c>
      <c r="C11" s="55">
        <f>'Calculation of LOD (simul data)'!F11</f>
        <v>81</v>
      </c>
      <c r="D11" s="51">
        <v>71.995613696029238</v>
      </c>
      <c r="E11" s="3">
        <f t="shared" si="10"/>
        <v>60.694700224381762</v>
      </c>
      <c r="F11" s="3">
        <f t="shared" ref="F11" si="12">m*C11+b</f>
        <v>92.711113276681942</v>
      </c>
      <c r="G11" s="3">
        <f t="shared" si="0"/>
        <v>6561</v>
      </c>
      <c r="H11" s="3">
        <f t="shared" si="1"/>
        <v>10.40111832826644</v>
      </c>
      <c r="I11" s="3">
        <f>sigma_y</f>
        <v>9.9085327802193319</v>
      </c>
      <c r="J11" s="3">
        <f t="shared" si="3"/>
        <v>91.898055209181081</v>
      </c>
      <c r="K11">
        <f t="shared" si="4"/>
        <v>71.995613696029238</v>
      </c>
      <c r="L11" s="3">
        <f t="shared" si="5"/>
        <v>29.491345239582444</v>
      </c>
      <c r="M11">
        <f t="shared" si="6"/>
        <v>71.995613696029238</v>
      </c>
      <c r="N11" s="3">
        <f t="shared" si="7"/>
        <v>429.13192287602209</v>
      </c>
      <c r="O11" s="3">
        <f t="shared" si="8"/>
        <v>71.095818552648197</v>
      </c>
      <c r="P11" s="3">
        <f t="shared" si="9"/>
        <v>50.29358189611532</v>
      </c>
    </row>
    <row r="12" spans="1:27" x14ac:dyDescent="0.25">
      <c r="A12" s="72" t="s">
        <v>59</v>
      </c>
      <c r="B12" s="73">
        <f>2*t*sigma_y/(n*t^2*sigma_y^2-D*m^2)*(t*sigma_y*SUM(C2:C107)-SQRT(D*m^2*SUM(G2:G73)+m^2*D^2))</f>
        <v>63.85632293488608</v>
      </c>
      <c r="C12" s="55">
        <f>'Calculation of LOD (simul data)'!F12</f>
        <v>100</v>
      </c>
      <c r="D12" s="51">
        <v>129.29973681762942</v>
      </c>
      <c r="E12" s="3">
        <f t="shared" ref="E12" si="13">(D12-b)/m</f>
        <v>116.86411066185704</v>
      </c>
      <c r="F12" s="3">
        <f t="shared" ref="F12" si="14">m*C12+b</f>
        <v>112.0949439209856</v>
      </c>
      <c r="G12" s="3">
        <f t="shared" ref="G12" si="15">C12^2</f>
        <v>10000</v>
      </c>
      <c r="H12" s="3">
        <f t="shared" si="1"/>
        <v>12.60459104912459</v>
      </c>
      <c r="I12" s="3">
        <f>sigma_y</f>
        <v>9.9085327802193319</v>
      </c>
      <c r="J12" s="3">
        <f t="shared" ref="J12" si="16">E12+t*H12</f>
        <v>154.67788380923082</v>
      </c>
      <c r="K12">
        <f t="shared" ref="K12" si="17">D12</f>
        <v>129.29973681762942</v>
      </c>
      <c r="L12" s="3">
        <f t="shared" ref="L12" si="18">E12-t*H12</f>
        <v>79.050337514483275</v>
      </c>
      <c r="M12">
        <f t="shared" ref="M12" si="19">D12</f>
        <v>129.29973681762942</v>
      </c>
      <c r="N12" s="3">
        <f t="shared" ref="N12" si="20">(D12-m*C12-b)^2</f>
        <v>296.00489861640551</v>
      </c>
      <c r="O12" s="3">
        <f t="shared" ref="O12" si="21">E12+H12</f>
        <v>129.46870171098163</v>
      </c>
      <c r="P12" s="3">
        <f t="shared" ref="P12" si="22">E12-H12</f>
        <v>104.25951961273245</v>
      </c>
    </row>
    <row r="13" spans="1:27" x14ac:dyDescent="0.25">
      <c r="A13" s="72" t="s">
        <v>57</v>
      </c>
      <c r="B13" s="73">
        <f>t*(sigma_y)/m</f>
        <v>29.136984264690518</v>
      </c>
      <c r="C13" s="55"/>
      <c r="D13" s="51"/>
      <c r="E13" s="3"/>
      <c r="F13" s="3"/>
      <c r="G13" s="3"/>
      <c r="H13" s="3"/>
      <c r="I13" s="3"/>
      <c r="J13" s="3"/>
      <c r="L13" s="3"/>
      <c r="N13" s="3"/>
      <c r="O13" s="3"/>
      <c r="P13" s="3"/>
    </row>
    <row r="14" spans="1:27" ht="15.75" thickBot="1" x14ac:dyDescent="0.3">
      <c r="A14" s="74"/>
      <c r="B14" s="75"/>
      <c r="C14" s="55"/>
      <c r="D14" s="51"/>
      <c r="E14" s="3"/>
      <c r="F14" s="3"/>
      <c r="G14" s="3"/>
      <c r="H14" s="3"/>
      <c r="I14" s="3"/>
      <c r="J14" s="3"/>
      <c r="L14" s="3"/>
      <c r="N14" s="3"/>
      <c r="O14" s="3"/>
      <c r="P14" s="3"/>
    </row>
    <row r="15" spans="1:27" x14ac:dyDescent="0.25">
      <c r="A15" s="60"/>
      <c r="B15" s="61">
        <f>t*SQRT(sigma_y^2+B5^2)+b</f>
        <v>52.467263136141497</v>
      </c>
      <c r="C15" s="51"/>
      <c r="D15" s="57"/>
      <c r="E15" s="3"/>
      <c r="F15" s="3"/>
      <c r="G15" s="3"/>
      <c r="H15" s="3"/>
      <c r="I15" s="3"/>
      <c r="J15" s="3"/>
      <c r="L15" s="3"/>
      <c r="N15" s="3"/>
      <c r="O15" s="3"/>
      <c r="P15" s="3"/>
    </row>
    <row r="16" spans="1:27" x14ac:dyDescent="0.25">
      <c r="A16" s="62">
        <v>0</v>
      </c>
      <c r="B16" s="62">
        <f>b+m*B11/2</f>
        <v>41.334424793271978</v>
      </c>
      <c r="C16" s="51"/>
      <c r="D16" s="57"/>
      <c r="E16" s="3"/>
      <c r="F16" s="3"/>
      <c r="G16" s="3"/>
      <c r="H16" s="3"/>
      <c r="I16" s="3"/>
      <c r="J16" s="3"/>
      <c r="L16" s="3"/>
      <c r="N16" s="3"/>
      <c r="O16" s="3"/>
      <c r="P16" s="3"/>
    </row>
    <row r="17" spans="1:16" x14ac:dyDescent="0.25">
      <c r="A17" s="62">
        <f>B11</f>
        <v>61.281303154425501</v>
      </c>
      <c r="B17" s="62">
        <f>B16</f>
        <v>41.334424793271978</v>
      </c>
      <c r="C17" s="51"/>
      <c r="D17" s="57"/>
      <c r="E17" s="3"/>
      <c r="F17" s="3"/>
      <c r="G17" s="3"/>
      <c r="H17" s="3"/>
      <c r="I17" s="3"/>
      <c r="J17" s="3"/>
      <c r="L17" s="3"/>
      <c r="N17" s="3"/>
      <c r="O17" s="3"/>
      <c r="P17" s="3"/>
    </row>
    <row r="18" spans="1:16" x14ac:dyDescent="0.25">
      <c r="A18" s="62">
        <f>A17</f>
        <v>61.281303154425501</v>
      </c>
      <c r="B18" s="62">
        <v>0</v>
      </c>
      <c r="C18" s="51"/>
      <c r="D18" s="57"/>
      <c r="E18" s="3"/>
      <c r="F18" s="3"/>
      <c r="G18" s="3"/>
      <c r="H18" s="3"/>
      <c r="I18" s="3"/>
      <c r="J18" s="3"/>
      <c r="L18" s="3"/>
      <c r="N18" s="3"/>
      <c r="O18" s="3"/>
      <c r="P18" s="3"/>
    </row>
    <row r="19" spans="1:16" x14ac:dyDescent="0.25">
      <c r="C19" s="51"/>
      <c r="D19" s="57"/>
      <c r="E19" s="3"/>
      <c r="F19" s="3"/>
      <c r="G19" s="3"/>
      <c r="H19" s="3"/>
      <c r="I19" s="3"/>
      <c r="J19" s="3"/>
      <c r="L19" s="3"/>
      <c r="N19" s="3"/>
      <c r="O19" s="3"/>
      <c r="P19" s="3"/>
    </row>
    <row r="20" spans="1:16" x14ac:dyDescent="0.25">
      <c r="C20" s="51"/>
      <c r="D20" s="57"/>
      <c r="E20" s="3"/>
      <c r="F20" s="3"/>
      <c r="G20" s="3"/>
      <c r="H20" s="3"/>
      <c r="I20" s="3"/>
      <c r="J20" s="3"/>
      <c r="L20" s="3"/>
      <c r="N20" s="3"/>
      <c r="O20" s="3"/>
      <c r="P20" s="3"/>
    </row>
    <row r="21" spans="1:16" x14ac:dyDescent="0.25">
      <c r="C21" s="51"/>
      <c r="D21" s="57"/>
      <c r="E21" s="3"/>
      <c r="F21" s="3"/>
      <c r="G21" s="3"/>
      <c r="H21" s="3"/>
      <c r="I21" s="3"/>
      <c r="J21" s="3"/>
      <c r="L21" s="3"/>
      <c r="N21" s="3"/>
      <c r="O21" s="3"/>
      <c r="P21" s="3"/>
    </row>
    <row r="22" spans="1:16" x14ac:dyDescent="0.25">
      <c r="A22" s="2" t="s">
        <v>55</v>
      </c>
      <c r="B22">
        <f>B7*(SQRT(SUM(G2:G107)/n))</f>
        <v>4.8645309823534859</v>
      </c>
      <c r="C22" s="51"/>
      <c r="D22" s="57"/>
      <c r="E22" s="3"/>
      <c r="F22" s="3"/>
      <c r="G22" s="3"/>
      <c r="H22" s="3"/>
      <c r="I22" s="3"/>
      <c r="J22" s="3"/>
      <c r="L22" s="3"/>
      <c r="N22" s="3"/>
      <c r="O22" s="3"/>
      <c r="P22" s="3"/>
    </row>
    <row r="23" spans="1:16" x14ac:dyDescent="0.25">
      <c r="A23" s="2" t="s">
        <v>56</v>
      </c>
      <c r="B23">
        <f>SQRT(B22^2+sigma_y^2)*t</f>
        <v>33.114712014671397</v>
      </c>
      <c r="C23" s="51"/>
      <c r="D23" s="57"/>
      <c r="E23" s="3"/>
      <c r="F23" s="3"/>
      <c r="G23" s="3"/>
      <c r="H23" s="3"/>
      <c r="I23" s="3"/>
      <c r="J23" s="3"/>
      <c r="L23" s="3"/>
      <c r="N23" s="3"/>
      <c r="O23" s="3"/>
      <c r="P23" s="3"/>
    </row>
    <row r="24" spans="1:16" ht="15.75" thickBot="1" x14ac:dyDescent="0.3">
      <c r="C24" s="51"/>
      <c r="D24" s="57"/>
      <c r="E24" s="3"/>
      <c r="F24" s="3"/>
      <c r="G24" s="3"/>
      <c r="H24" s="3"/>
      <c r="I24" s="3"/>
      <c r="J24" s="3"/>
      <c r="L24" s="3"/>
      <c r="N24" s="3"/>
      <c r="O24" s="3"/>
      <c r="P24" s="3"/>
    </row>
    <row r="25" spans="1:16" ht="15.75" customHeight="1" x14ac:dyDescent="0.25">
      <c r="A25" s="76" t="s">
        <v>49</v>
      </c>
      <c r="B25" s="77"/>
      <c r="C25" s="51"/>
      <c r="D25" s="57"/>
      <c r="E25" s="3"/>
      <c r="F25" s="3"/>
      <c r="G25" s="3"/>
      <c r="H25" s="3"/>
      <c r="I25" s="3"/>
      <c r="J25" s="3"/>
      <c r="L25" s="3"/>
      <c r="N25" s="3"/>
      <c r="O25" s="3"/>
      <c r="P25" s="3"/>
    </row>
    <row r="26" spans="1:16" x14ac:dyDescent="0.25">
      <c r="A26" s="78"/>
      <c r="B26" s="79"/>
      <c r="C26" s="51"/>
      <c r="D26" s="57"/>
      <c r="E26" s="3"/>
      <c r="F26" s="3"/>
      <c r="G26" s="3"/>
      <c r="H26" s="3"/>
      <c r="I26" s="3"/>
      <c r="J26" s="3"/>
      <c r="L26" s="3"/>
      <c r="N26" s="3"/>
      <c r="O26" s="3"/>
      <c r="P26" s="3"/>
    </row>
    <row r="27" spans="1:16" ht="15" customHeight="1" thickBot="1" x14ac:dyDescent="0.3">
      <c r="A27" s="78"/>
      <c r="B27" s="79"/>
      <c r="C27" s="55"/>
      <c r="D27" s="57"/>
      <c r="E27" s="3"/>
      <c r="F27" s="3"/>
      <c r="G27" s="3"/>
      <c r="H27" s="3"/>
      <c r="I27" s="3"/>
      <c r="J27" s="3"/>
      <c r="L27" s="3"/>
      <c r="O27" s="3"/>
      <c r="P27" s="3"/>
    </row>
    <row r="28" spans="1:16" x14ac:dyDescent="0.25">
      <c r="A28" s="76" t="s">
        <v>60</v>
      </c>
      <c r="B28" s="77"/>
      <c r="C28" s="55"/>
      <c r="D28" s="57"/>
      <c r="E28" s="3"/>
      <c r="F28" s="3"/>
      <c r="G28" s="3"/>
      <c r="H28" s="3"/>
      <c r="I28" s="3"/>
      <c r="J28" s="3"/>
      <c r="L28" s="3"/>
      <c r="N28" s="3"/>
      <c r="O28" s="3"/>
      <c r="P28" s="3"/>
    </row>
    <row r="29" spans="1:16" x14ac:dyDescent="0.25">
      <c r="A29" s="78"/>
      <c r="B29" s="79"/>
      <c r="C29" s="56"/>
      <c r="D29" s="52"/>
      <c r="E29" s="3"/>
      <c r="F29" s="3"/>
      <c r="G29" s="3"/>
      <c r="H29" s="3"/>
      <c r="I29" s="3"/>
      <c r="J29" s="3"/>
      <c r="L29" s="3"/>
      <c r="N29" s="3"/>
      <c r="O29" s="3"/>
      <c r="P29" s="3"/>
    </row>
    <row r="30" spans="1:16" x14ac:dyDescent="0.25">
      <c r="A30" s="78"/>
      <c r="B30" s="79"/>
      <c r="C30" s="56"/>
      <c r="D30" s="52"/>
      <c r="E30" s="3"/>
      <c r="F30" s="3"/>
      <c r="G30" s="3"/>
      <c r="H30" s="3"/>
      <c r="I30" s="3"/>
      <c r="J30" s="3"/>
      <c r="L30" s="3"/>
      <c r="O30" s="3"/>
      <c r="P30" s="3"/>
    </row>
    <row r="31" spans="1:16" ht="15.75" thickBot="1" x14ac:dyDescent="0.3">
      <c r="A31" s="80"/>
      <c r="B31" s="81"/>
      <c r="C31" s="56"/>
      <c r="D31" s="52"/>
      <c r="E31" s="3"/>
      <c r="H31" s="3"/>
      <c r="I31" s="3"/>
      <c r="J31" s="3"/>
      <c r="L31" s="3"/>
      <c r="N31" s="3"/>
      <c r="O31" s="3"/>
      <c r="P31" s="3"/>
    </row>
    <row r="32" spans="1:16" ht="15" customHeight="1" x14ac:dyDescent="0.25">
      <c r="A32" s="2" t="s">
        <v>61</v>
      </c>
      <c r="C32" s="52"/>
      <c r="D32" s="52"/>
      <c r="H32" s="3"/>
      <c r="I32" s="3"/>
      <c r="J32" s="3"/>
      <c r="L32" s="3"/>
      <c r="N32" s="3"/>
      <c r="O32" s="3"/>
      <c r="P32" s="3"/>
    </row>
    <row r="33" spans="1:16" x14ac:dyDescent="0.25">
      <c r="A33" s="62">
        <v>0</v>
      </c>
      <c r="B33" s="62">
        <f>b+m*B11/2</f>
        <v>41.334424793271978</v>
      </c>
      <c r="C33" s="14"/>
      <c r="D33" s="14"/>
      <c r="L33" s="1"/>
    </row>
    <row r="34" spans="1:16" x14ac:dyDescent="0.25">
      <c r="A34" s="62">
        <f>B13</f>
        <v>29.136984264690518</v>
      </c>
      <c r="B34" s="62">
        <f>B33</f>
        <v>41.334424793271978</v>
      </c>
      <c r="C34" s="14"/>
      <c r="D34" s="54"/>
      <c r="O34" s="2"/>
    </row>
    <row r="35" spans="1:16" x14ac:dyDescent="0.25">
      <c r="A35" s="62">
        <f>A34</f>
        <v>29.136984264690518</v>
      </c>
      <c r="B35" s="62">
        <v>0</v>
      </c>
      <c r="C35" s="14"/>
      <c r="D35" s="54"/>
      <c r="J35" s="2"/>
      <c r="L35" s="1"/>
    </row>
    <row r="36" spans="1:16" x14ac:dyDescent="0.25">
      <c r="A36" s="2" t="s">
        <v>62</v>
      </c>
      <c r="B36" s="69"/>
      <c r="C36" s="14"/>
      <c r="D36" s="54"/>
      <c r="L36" s="1"/>
      <c r="P36" s="2"/>
    </row>
    <row r="37" spans="1:16" x14ac:dyDescent="0.25">
      <c r="A37" s="62">
        <v>0</v>
      </c>
      <c r="B37" s="62">
        <f>b+m*B12/2</f>
        <v>42.647944459855658</v>
      </c>
      <c r="C37" s="14"/>
      <c r="D37" s="14"/>
    </row>
    <row r="38" spans="1:16" x14ac:dyDescent="0.25">
      <c r="A38" s="62">
        <f>B12</f>
        <v>63.85632293488608</v>
      </c>
      <c r="B38" s="62">
        <f>B37</f>
        <v>42.647944459855658</v>
      </c>
      <c r="C38" s="14"/>
      <c r="D38" s="14"/>
    </row>
    <row r="39" spans="1:16" x14ac:dyDescent="0.25">
      <c r="A39" s="62">
        <f>A38</f>
        <v>63.85632293488608</v>
      </c>
      <c r="B39" s="62">
        <v>0</v>
      </c>
      <c r="C39" s="14"/>
      <c r="D39" s="14"/>
    </row>
    <row r="40" spans="1:16" x14ac:dyDescent="0.25">
      <c r="A40" s="2"/>
      <c r="C40" s="14"/>
      <c r="D40" s="14"/>
    </row>
    <row r="41" spans="1:16" x14ac:dyDescent="0.25">
      <c r="A41" s="62"/>
      <c r="B41" s="62"/>
      <c r="C41" s="14"/>
      <c r="D41" s="14"/>
    </row>
    <row r="42" spans="1:16" x14ac:dyDescent="0.25">
      <c r="A42" s="62"/>
      <c r="B42" s="62"/>
      <c r="C42" s="14"/>
      <c r="D42" s="14"/>
    </row>
    <row r="43" spans="1:16" x14ac:dyDescent="0.25">
      <c r="A43" s="62"/>
      <c r="B43" s="62"/>
      <c r="C43" s="14"/>
      <c r="D43" s="14"/>
    </row>
    <row r="44" spans="1:16" x14ac:dyDescent="0.25">
      <c r="C44" s="14"/>
      <c r="D44" s="14"/>
    </row>
    <row r="45" spans="1:16" x14ac:dyDescent="0.25">
      <c r="C45" s="14"/>
      <c r="D45" s="14"/>
    </row>
    <row r="46" spans="1:16" x14ac:dyDescent="0.25">
      <c r="C46" s="14"/>
      <c r="D46" s="14"/>
    </row>
    <row r="47" spans="1:16" x14ac:dyDescent="0.25">
      <c r="C47" s="14"/>
      <c r="D47" s="14"/>
    </row>
    <row r="48" spans="1:16" x14ac:dyDescent="0.25">
      <c r="A48" s="64"/>
      <c r="B48" s="21"/>
      <c r="C48" s="14"/>
      <c r="D48" s="14"/>
    </row>
    <row r="49" spans="1:16" x14ac:dyDescent="0.25">
      <c r="A49" s="2"/>
      <c r="C49" s="14"/>
      <c r="D49" s="14"/>
    </row>
    <row r="50" spans="1:16" x14ac:dyDescent="0.25">
      <c r="A50" s="2"/>
      <c r="C50" s="14"/>
      <c r="D50" s="14"/>
    </row>
    <row r="51" spans="1:16" x14ac:dyDescent="0.25">
      <c r="A51" s="2"/>
      <c r="C51" s="14"/>
      <c r="D51" s="14"/>
    </row>
    <row r="52" spans="1:16" x14ac:dyDescent="0.25">
      <c r="A52" s="2"/>
      <c r="B52" s="69"/>
      <c r="C52" s="14"/>
      <c r="D52" s="14"/>
    </row>
    <row r="53" spans="1:16" x14ac:dyDescent="0.25">
      <c r="C53" s="14"/>
      <c r="D53" s="14"/>
    </row>
    <row r="54" spans="1:16" x14ac:dyDescent="0.25">
      <c r="A54" s="2"/>
      <c r="C54" s="14"/>
      <c r="D54" s="14"/>
    </row>
    <row r="55" spans="1:16" x14ac:dyDescent="0.25">
      <c r="A55" s="2"/>
      <c r="C55" s="14"/>
      <c r="D55" s="14"/>
    </row>
    <row r="56" spans="1:16" x14ac:dyDescent="0.25">
      <c r="A56" s="2"/>
      <c r="C56" s="14"/>
      <c r="D56" s="14"/>
    </row>
    <row r="57" spans="1:16" x14ac:dyDescent="0.25">
      <c r="C57" s="14"/>
      <c r="D57" s="14"/>
    </row>
    <row r="58" spans="1:16" x14ac:dyDescent="0.25">
      <c r="C58" s="14"/>
      <c r="D58" s="14"/>
    </row>
    <row r="59" spans="1:16" x14ac:dyDescent="0.25">
      <c r="C59" s="14"/>
      <c r="D59" s="14"/>
    </row>
    <row r="60" spans="1:16" x14ac:dyDescent="0.25">
      <c r="A60" s="64"/>
      <c r="C60" s="14"/>
      <c r="D60" s="14"/>
    </row>
    <row r="61" spans="1:16" x14ac:dyDescent="0.25">
      <c r="A61" s="2"/>
      <c r="C61" s="14"/>
      <c r="D61" s="14"/>
    </row>
    <row r="62" spans="1:16" x14ac:dyDescent="0.25">
      <c r="A62" s="2"/>
      <c r="C62" s="14"/>
      <c r="D62" s="14"/>
    </row>
    <row r="63" spans="1:16" x14ac:dyDescent="0.25">
      <c r="A63" s="2"/>
      <c r="C63" s="14"/>
      <c r="D63" s="14"/>
      <c r="N63" s="58"/>
      <c r="O63" s="58"/>
      <c r="P63" s="58"/>
    </row>
    <row r="64" spans="1:16" x14ac:dyDescent="0.25">
      <c r="A64" s="2"/>
      <c r="C64" s="14"/>
      <c r="D64" s="14"/>
    </row>
    <row r="65" spans="1:4" x14ac:dyDescent="0.25">
      <c r="A65" s="2"/>
      <c r="C65" s="14"/>
      <c r="D65" s="14"/>
    </row>
    <row r="66" spans="1:4" x14ac:dyDescent="0.25">
      <c r="A66" s="2"/>
      <c r="B66" s="69"/>
      <c r="C66" s="14"/>
      <c r="D66" s="14"/>
    </row>
    <row r="67" spans="1:4" x14ac:dyDescent="0.25">
      <c r="A67" s="2"/>
      <c r="C67" s="14"/>
      <c r="D67" s="14"/>
    </row>
    <row r="68" spans="1:4" x14ac:dyDescent="0.25">
      <c r="C68" s="14"/>
      <c r="D68" s="14"/>
    </row>
    <row r="69" spans="1:4" x14ac:dyDescent="0.25">
      <c r="A69" s="2"/>
      <c r="C69" s="14"/>
      <c r="D69" s="14"/>
    </row>
    <row r="70" spans="1:4" x14ac:dyDescent="0.25">
      <c r="A70" s="2"/>
      <c r="C70" s="14"/>
      <c r="D70" s="14"/>
    </row>
    <row r="71" spans="1:4" x14ac:dyDescent="0.25">
      <c r="A71" s="2"/>
      <c r="C71" s="14"/>
      <c r="D71" s="14"/>
    </row>
    <row r="72" spans="1:4" x14ac:dyDescent="0.25">
      <c r="C72" s="14"/>
      <c r="D72" s="14"/>
    </row>
    <row r="73" spans="1:4" x14ac:dyDescent="0.25">
      <c r="C73" s="14"/>
      <c r="D73" s="14"/>
    </row>
    <row r="74" spans="1:4" x14ac:dyDescent="0.25">
      <c r="C74" s="14"/>
      <c r="D74" s="14"/>
    </row>
    <row r="75" spans="1:4" x14ac:dyDescent="0.25">
      <c r="C75" s="14"/>
      <c r="D75" s="14"/>
    </row>
    <row r="76" spans="1:4" x14ac:dyDescent="0.25">
      <c r="C76" s="14"/>
      <c r="D76" s="14"/>
    </row>
    <row r="77" spans="1:4" x14ac:dyDescent="0.25">
      <c r="C77" s="14"/>
      <c r="D77" s="14"/>
    </row>
    <row r="78" spans="1:4" x14ac:dyDescent="0.25">
      <c r="C78" s="14"/>
      <c r="D78" s="14"/>
    </row>
    <row r="79" spans="1:4" x14ac:dyDescent="0.25">
      <c r="C79" s="14"/>
      <c r="D79" s="14"/>
    </row>
    <row r="80" spans="1:4" x14ac:dyDescent="0.25">
      <c r="C80" s="14"/>
      <c r="D80" s="14"/>
    </row>
    <row r="81" spans="1:4" x14ac:dyDescent="0.25">
      <c r="C81" s="14"/>
      <c r="D81" s="14"/>
    </row>
    <row r="82" spans="1:4" x14ac:dyDescent="0.25">
      <c r="C82" s="14"/>
      <c r="D82" s="14"/>
    </row>
    <row r="83" spans="1:4" x14ac:dyDescent="0.25">
      <c r="C83" s="14"/>
      <c r="D83" s="14"/>
    </row>
    <row r="84" spans="1:4" x14ac:dyDescent="0.25">
      <c r="C84" s="14"/>
      <c r="D84" s="14"/>
    </row>
    <row r="85" spans="1:4" x14ac:dyDescent="0.25">
      <c r="C85" s="14"/>
      <c r="D85" s="14"/>
    </row>
    <row r="86" spans="1:4" x14ac:dyDescent="0.25">
      <c r="C86" s="14"/>
      <c r="D86" s="14"/>
    </row>
    <row r="87" spans="1:4" x14ac:dyDescent="0.25">
      <c r="C87" s="14"/>
      <c r="D87" s="14"/>
    </row>
    <row r="88" spans="1:4" x14ac:dyDescent="0.25">
      <c r="A88" s="2"/>
      <c r="C88" s="14"/>
      <c r="D88" s="14"/>
    </row>
    <row r="89" spans="1:4" x14ac:dyDescent="0.25">
      <c r="C89" s="14"/>
      <c r="D89" s="14"/>
    </row>
    <row r="90" spans="1:4" x14ac:dyDescent="0.25">
      <c r="C90" s="14"/>
      <c r="D90" s="14"/>
    </row>
    <row r="91" spans="1:4" x14ac:dyDescent="0.25">
      <c r="C91" s="14"/>
      <c r="D91" s="14"/>
    </row>
    <row r="92" spans="1:4" x14ac:dyDescent="0.25">
      <c r="C92" s="14"/>
      <c r="D92" s="14"/>
    </row>
    <row r="93" spans="1:4" x14ac:dyDescent="0.25">
      <c r="C93" s="14"/>
      <c r="D93" s="14"/>
    </row>
    <row r="94" spans="1:4" x14ac:dyDescent="0.25">
      <c r="C94" s="14"/>
      <c r="D94" s="14"/>
    </row>
    <row r="95" spans="1:4" x14ac:dyDescent="0.25">
      <c r="C95" s="14"/>
      <c r="D95" s="14"/>
    </row>
    <row r="96" spans="1:4" x14ac:dyDescent="0.25">
      <c r="C96" s="14"/>
      <c r="D96" s="14"/>
    </row>
    <row r="97" spans="3:4" x14ac:dyDescent="0.25">
      <c r="C97" s="14"/>
      <c r="D97" s="14"/>
    </row>
    <row r="98" spans="3:4" x14ac:dyDescent="0.25">
      <c r="C98" s="14"/>
      <c r="D98" s="14"/>
    </row>
    <row r="99" spans="3:4" x14ac:dyDescent="0.25">
      <c r="C99" s="14"/>
      <c r="D99" s="14"/>
    </row>
    <row r="100" spans="3:4" x14ac:dyDescent="0.25">
      <c r="C100" s="14"/>
      <c r="D100" s="14"/>
    </row>
    <row r="101" spans="3:4" x14ac:dyDescent="0.25">
      <c r="C101" s="14"/>
      <c r="D101" s="14"/>
    </row>
    <row r="102" spans="3:4" x14ac:dyDescent="0.25">
      <c r="C102" s="14"/>
      <c r="D102" s="14"/>
    </row>
    <row r="103" spans="3:4" x14ac:dyDescent="0.25">
      <c r="C103" s="14"/>
      <c r="D103" s="14"/>
    </row>
    <row r="104" spans="3:4" x14ac:dyDescent="0.25">
      <c r="C104" s="14"/>
      <c r="D104" s="14"/>
    </row>
    <row r="105" spans="3:4" x14ac:dyDescent="0.25">
      <c r="C105" s="14"/>
      <c r="D105" s="14"/>
    </row>
    <row r="106" spans="3:4" x14ac:dyDescent="0.25">
      <c r="C106" s="14"/>
      <c r="D106" s="14"/>
    </row>
    <row r="107" spans="3:4" x14ac:dyDescent="0.25">
      <c r="C107" s="14"/>
      <c r="D107" s="14"/>
    </row>
    <row r="108" spans="3:4" x14ac:dyDescent="0.25">
      <c r="C108" s="14"/>
      <c r="D108" s="14"/>
    </row>
  </sheetData>
  <mergeCells count="2">
    <mergeCell ref="A25:B27"/>
    <mergeCell ref="A28:B31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12</xdr:col>
                <xdr:colOff>552450</xdr:colOff>
                <xdr:row>18</xdr:row>
                <xdr:rowOff>133350</xdr:rowOff>
              </from>
              <to>
                <xdr:col>16</xdr:col>
                <xdr:colOff>247650</xdr:colOff>
                <xdr:row>22</xdr:row>
                <xdr:rowOff>28575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 sizeWithCells="1">
              <from>
                <xdr:col>12</xdr:col>
                <xdr:colOff>571500</xdr:colOff>
                <xdr:row>13</xdr:row>
                <xdr:rowOff>152400</xdr:rowOff>
              </from>
              <to>
                <xdr:col>18</xdr:col>
                <xdr:colOff>533400</xdr:colOff>
                <xdr:row>17</xdr:row>
                <xdr:rowOff>171450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2"/>
  <sheetViews>
    <sheetView workbookViewId="0">
      <selection activeCell="A39" sqref="A39"/>
    </sheetView>
  </sheetViews>
  <sheetFormatPr defaultRowHeight="15" x14ac:dyDescent="0.25"/>
  <cols>
    <col min="1" max="1" width="47.5703125" customWidth="1"/>
    <col min="6" max="6" width="12" bestFit="1" customWidth="1"/>
    <col min="10" max="10" width="7" customWidth="1"/>
    <col min="12" max="12" width="11" bestFit="1" customWidth="1"/>
    <col min="13" max="13" width="12" bestFit="1" customWidth="1"/>
    <col min="14" max="14" width="12.140625" customWidth="1"/>
    <col min="16" max="16" width="12" bestFit="1" customWidth="1"/>
  </cols>
  <sheetData>
    <row r="1" spans="1:32" s="15" customFormat="1" ht="15.75" thickBot="1" x14ac:dyDescent="0.3">
      <c r="A1" s="25" t="s">
        <v>24</v>
      </c>
      <c r="B1" s="39">
        <v>3</v>
      </c>
      <c r="C1" s="23"/>
      <c r="D1" s="82" t="s">
        <v>13</v>
      </c>
      <c r="E1" s="83"/>
      <c r="F1" s="34" t="s">
        <v>0</v>
      </c>
      <c r="G1" s="35" t="s">
        <v>1</v>
      </c>
      <c r="H1" s="36" t="s">
        <v>9</v>
      </c>
      <c r="I1" s="36" t="s">
        <v>8</v>
      </c>
      <c r="J1" s="36" t="s">
        <v>3</v>
      </c>
      <c r="K1" s="36" t="s">
        <v>4</v>
      </c>
      <c r="L1" s="36" t="s">
        <v>7</v>
      </c>
      <c r="M1" s="36" t="s">
        <v>10</v>
      </c>
      <c r="N1" s="37" t="s">
        <v>10</v>
      </c>
      <c r="O1" s="36" t="s">
        <v>11</v>
      </c>
      <c r="P1" s="35" t="s">
        <v>12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x14ac:dyDescent="0.25">
      <c r="A2" s="13" t="s">
        <v>6</v>
      </c>
      <c r="B2" s="8">
        <f>COUNT(F3:F101)</f>
        <v>10</v>
      </c>
      <c r="C2" s="10"/>
      <c r="D2" s="84"/>
      <c r="E2" s="85"/>
      <c r="F2" s="7">
        <v>0</v>
      </c>
      <c r="G2" s="8"/>
      <c r="H2" s="24"/>
      <c r="I2" s="10">
        <f ca="1">m*F2+b</f>
        <v>4.5562118291235301</v>
      </c>
      <c r="J2" s="24"/>
      <c r="K2" s="24"/>
      <c r="L2" s="24"/>
      <c r="M2" s="24"/>
      <c r="N2" s="24"/>
      <c r="O2" s="24"/>
      <c r="P2" s="29"/>
    </row>
    <row r="3" spans="1:32" ht="15.75" thickBot="1" x14ac:dyDescent="0.3">
      <c r="A3" s="32" t="s">
        <v>5</v>
      </c>
      <c r="B3" s="40">
        <v>1</v>
      </c>
      <c r="C3" s="10"/>
      <c r="D3" s="7">
        <f t="shared" ref="D3:D12" ca="1" si="0">SQRT(-2*LN(RAND()))* COS(2*PI()*RAND())</f>
        <v>-1.0548469249019203</v>
      </c>
      <c r="E3" s="8">
        <f t="shared" ref="E3:E12" ca="1" si="1">SQRT(-2*LN(RAND()))* SIN(2*PI()*RAND())</f>
        <v>-0.48319274760704828</v>
      </c>
      <c r="F3" s="7">
        <v>1</v>
      </c>
      <c r="G3" s="8">
        <f ca="1">F3*(1+$B$18*PI()*D3)+$B$19*(E3)</f>
        <v>0.81014539512296468</v>
      </c>
      <c r="H3" s="10">
        <f t="shared" ref="H3:H11" ca="1" si="2">(G3-b)/m</f>
        <v>-5.2990699472956067</v>
      </c>
      <c r="I3" s="10">
        <f t="shared" ref="I3:I10" ca="1" si="3">m*F3+b</f>
        <v>5.2631408697398703</v>
      </c>
      <c r="J3" s="10">
        <f t="shared" ref="J3:J10" si="4">F3^2</f>
        <v>1</v>
      </c>
      <c r="K3" s="10">
        <f t="shared" ref="K3:K11" ca="1" si="5">sigma_y/ABS(m)*SQRT(1/k+F3^2*n/D+SUM($J$3:$J$101)/D-2*F3*SUM($F$3:$F$101)/D)</f>
        <v>8.7876519855872619</v>
      </c>
      <c r="L3" s="10">
        <f t="shared" ref="L3:L11" ca="1" si="6">(G3-m*F3-b)^2</f>
        <v>19.829168696958646</v>
      </c>
      <c r="M3" s="10">
        <f t="shared" ref="M3:M11" ca="1" si="7">H3+K3</f>
        <v>3.4885820382916553</v>
      </c>
      <c r="N3" s="10">
        <f t="shared" ref="N3:N11" ca="1" si="8">H3-K3</f>
        <v>-14.086721932882869</v>
      </c>
      <c r="O3" s="10">
        <f t="shared" ref="O3:O12" ca="1" si="9">H3+t*K3</f>
        <v>21.063886009466181</v>
      </c>
      <c r="P3" s="8">
        <f t="shared" ref="P3:P12" ca="1" si="10">H3-t*K3</f>
        <v>-31.662025904057394</v>
      </c>
    </row>
    <row r="4" spans="1:32" x14ac:dyDescent="0.25">
      <c r="A4" s="13" t="s">
        <v>29</v>
      </c>
      <c r="B4" s="8">
        <f ca="1">INTERCEPT(G3:G101,F3:F101)</f>
        <v>4.5562118291235301</v>
      </c>
      <c r="C4" s="24"/>
      <c r="D4" s="7">
        <f t="shared" ca="1" si="0"/>
        <v>-0.63305663404077606</v>
      </c>
      <c r="E4" s="8">
        <f t="shared" ca="1" si="1"/>
        <v>1.05474239697334</v>
      </c>
      <c r="F4" s="7">
        <f>2^$B$17</f>
        <v>4</v>
      </c>
      <c r="G4" s="8">
        <f t="shared" ref="G4:G12" ca="1" si="11">F4*(1+$B$18*PI()*D4)+$B$19*(E4)</f>
        <v>3.6549759056869102</v>
      </c>
      <c r="H4" s="10">
        <f t="shared" ca="1" si="2"/>
        <v>-1.2748605187458018</v>
      </c>
      <c r="I4" s="10">
        <f t="shared" ca="1" si="3"/>
        <v>7.3839279915888927</v>
      </c>
      <c r="J4" s="10">
        <f t="shared" si="4"/>
        <v>16</v>
      </c>
      <c r="K4" s="10">
        <f t="shared" ca="1" si="5"/>
        <v>8.7141582750089075</v>
      </c>
      <c r="L4" s="10">
        <f t="shared" ca="1" si="6"/>
        <v>13.905083658952742</v>
      </c>
      <c r="M4" s="10">
        <f t="shared" ca="1" si="7"/>
        <v>7.4392977562631053</v>
      </c>
      <c r="N4" s="10">
        <f t="shared" ca="1" si="8"/>
        <v>-9.9890187937547097</v>
      </c>
      <c r="O4" s="10">
        <f t="shared" ca="1" si="9"/>
        <v>24.867614306280924</v>
      </c>
      <c r="P4" s="8">
        <f t="shared" ca="1" si="10"/>
        <v>-27.417335343772525</v>
      </c>
    </row>
    <row r="5" spans="1:32" x14ac:dyDescent="0.25">
      <c r="A5" s="22" t="s">
        <v>30</v>
      </c>
      <c r="B5" s="8">
        <f ca="1">Sigma_slope*(SQRT(SUM(J3:J101)/n))</f>
        <v>2.7457363410525089</v>
      </c>
      <c r="C5" s="10"/>
      <c r="D5" s="7">
        <f t="shared" ca="1" si="0"/>
        <v>-7.7236588110771318E-2</v>
      </c>
      <c r="E5" s="8">
        <f t="shared" ca="1" si="1"/>
        <v>-0.78688818463209453</v>
      </c>
      <c r="F5" s="7">
        <f>3^$B$17</f>
        <v>9</v>
      </c>
      <c r="G5" s="8">
        <f t="shared" ca="1" si="11"/>
        <v>8.8514649367596814</v>
      </c>
      <c r="H5" s="10">
        <f t="shared" ca="1" si="2"/>
        <v>6.0759324640154944</v>
      </c>
      <c r="I5" s="10">
        <f t="shared" ca="1" si="3"/>
        <v>10.918573194670595</v>
      </c>
      <c r="J5" s="10">
        <f t="shared" si="4"/>
        <v>81</v>
      </c>
      <c r="K5" s="10">
        <f t="shared" ca="1" si="5"/>
        <v>8.604124873863281</v>
      </c>
      <c r="L5" s="10">
        <f t="shared" ca="1" si="6"/>
        <v>4.2729365499234904</v>
      </c>
      <c r="M5" s="10">
        <f t="shared" ca="1" si="7"/>
        <v>14.680057337878775</v>
      </c>
      <c r="N5" s="10">
        <f t="shared" ca="1" si="8"/>
        <v>-2.5281924098477866</v>
      </c>
      <c r="O5" s="10">
        <f t="shared" ca="1" si="9"/>
        <v>31.888307085605337</v>
      </c>
      <c r="P5" s="8">
        <f t="shared" ca="1" si="10"/>
        <v>-19.736442157574348</v>
      </c>
    </row>
    <row r="6" spans="1:32" x14ac:dyDescent="0.25">
      <c r="A6" s="13" t="s">
        <v>31</v>
      </c>
      <c r="B6" s="8">
        <f ca="1">SLOPE(G3:G101,F3:F101)</f>
        <v>0.70692904061634054</v>
      </c>
      <c r="C6" s="10"/>
      <c r="D6" s="7">
        <f t="shared" ca="1" si="0"/>
        <v>-1.1158100640225175</v>
      </c>
      <c r="E6" s="8">
        <f t="shared" ca="1" si="1"/>
        <v>8.7802636935260858E-2</v>
      </c>
      <c r="F6" s="7">
        <f>4^$B$17</f>
        <v>16</v>
      </c>
      <c r="G6" s="8">
        <f t="shared" ca="1" si="11"/>
        <v>13.200053571899005</v>
      </c>
      <c r="H6" s="10">
        <f t="shared" ca="1" si="2"/>
        <v>12.227311718923426</v>
      </c>
      <c r="I6" s="10">
        <f t="shared" ca="1" si="3"/>
        <v>15.867076478984979</v>
      </c>
      <c r="J6" s="10">
        <f t="shared" si="4"/>
        <v>256</v>
      </c>
      <c r="K6" s="10">
        <f t="shared" ca="1" si="5"/>
        <v>8.4772257654606182</v>
      </c>
      <c r="L6" s="10">
        <f t="shared" ca="1" si="6"/>
        <v>7.1130111869213177</v>
      </c>
      <c r="M6" s="10">
        <f t="shared" ca="1" si="7"/>
        <v>20.704537484384044</v>
      </c>
      <c r="N6" s="10">
        <f t="shared" ca="1" si="8"/>
        <v>3.7500859534628077</v>
      </c>
      <c r="O6" s="10">
        <f t="shared" ca="1" si="9"/>
        <v>37.658989015305281</v>
      </c>
      <c r="P6" s="8">
        <f t="shared" ca="1" si="10"/>
        <v>-13.204365577458431</v>
      </c>
    </row>
    <row r="7" spans="1:32" x14ac:dyDescent="0.25">
      <c r="A7" s="13" t="s">
        <v>32</v>
      </c>
      <c r="B7" s="8">
        <f ca="1">SQRT(B10^2*n/D)</f>
        <v>5.4552608315320945E-2</v>
      </c>
      <c r="C7" s="10"/>
      <c r="D7" s="7">
        <f t="shared" ca="1" si="0"/>
        <v>0.53146162858829382</v>
      </c>
      <c r="E7" s="8">
        <f t="shared" ca="1" si="1"/>
        <v>-1.8824790314830109</v>
      </c>
      <c r="F7" s="7">
        <f>5^$B$17</f>
        <v>25</v>
      </c>
      <c r="G7" s="8">
        <f t="shared" ca="1" si="11"/>
        <v>26.992920983473166</v>
      </c>
      <c r="H7" s="10">
        <f t="shared" ca="1" si="2"/>
        <v>31.738276213392012</v>
      </c>
      <c r="I7" s="10">
        <f t="shared" ca="1" si="3"/>
        <v>22.229437844532043</v>
      </c>
      <c r="J7" s="10">
        <f t="shared" si="4"/>
        <v>625</v>
      </c>
      <c r="K7" s="10">
        <f t="shared" ca="1" si="5"/>
        <v>8.3626519245843927</v>
      </c>
      <c r="L7" s="10">
        <f t="shared" ca="1" si="6"/>
        <v>22.69077161497637</v>
      </c>
      <c r="M7" s="10">
        <f t="shared" ca="1" si="7"/>
        <v>40.100928137976403</v>
      </c>
      <c r="N7" s="10">
        <f t="shared" ca="1" si="8"/>
        <v>23.375624288807622</v>
      </c>
      <c r="O7" s="10">
        <f t="shared" ca="1" si="9"/>
        <v>56.826231987145192</v>
      </c>
      <c r="P7" s="8">
        <f t="shared" ca="1" si="10"/>
        <v>6.6503204396388327</v>
      </c>
    </row>
    <row r="8" spans="1:32" x14ac:dyDescent="0.25">
      <c r="A8" s="13" t="s">
        <v>33</v>
      </c>
      <c r="B8" s="8">
        <f ca="1">RSQ(G3:G101,F3:F101)</f>
        <v>0.95452660098080166</v>
      </c>
      <c r="C8" s="10"/>
      <c r="D8" s="7">
        <f t="shared" ca="1" si="0"/>
        <v>-0.28359850997611485</v>
      </c>
      <c r="E8" s="8">
        <f t="shared" ca="1" si="1"/>
        <v>-1.4374741465587138</v>
      </c>
      <c r="F8" s="7">
        <f>6^$B$17</f>
        <v>36</v>
      </c>
      <c r="G8" s="8">
        <f t="shared" ca="1" si="11"/>
        <v>34.324414500754109</v>
      </c>
      <c r="H8" s="10">
        <f t="shared" ca="1" si="2"/>
        <v>42.109180640926823</v>
      </c>
      <c r="I8" s="10">
        <f t="shared" ca="1" si="3"/>
        <v>30.005657291311788</v>
      </c>
      <c r="J8" s="10">
        <f t="shared" si="4"/>
        <v>1296</v>
      </c>
      <c r="K8" s="10">
        <f t="shared" ca="1" si="5"/>
        <v>8.2997513778109457</v>
      </c>
      <c r="L8" s="10">
        <f t="shared" ca="1" si="6"/>
        <v>18.651663834110025</v>
      </c>
      <c r="M8" s="10">
        <f t="shared" ca="1" si="7"/>
        <v>50.408932018737772</v>
      </c>
      <c r="N8" s="10">
        <f t="shared" ca="1" si="8"/>
        <v>33.809429263115874</v>
      </c>
      <c r="O8" s="10">
        <f t="shared" ca="1" si="9"/>
        <v>67.008434774359657</v>
      </c>
      <c r="P8" s="8">
        <f t="shared" ca="1" si="10"/>
        <v>17.209926507493986</v>
      </c>
    </row>
    <row r="9" spans="1:32" x14ac:dyDescent="0.25">
      <c r="A9" s="13" t="s">
        <v>2</v>
      </c>
      <c r="B9" s="8">
        <f>SUM(J3:J101)*B2-SUM(F3:F101)^2</f>
        <v>105105</v>
      </c>
      <c r="C9" s="10"/>
      <c r="D9" s="7">
        <f t="shared" ca="1" si="0"/>
        <v>-0.10062383505439107</v>
      </c>
      <c r="E9" s="8">
        <f t="shared" ca="1" si="1"/>
        <v>-4.0646988512990208E-2</v>
      </c>
      <c r="F9" s="7">
        <f>7^$B$17</f>
        <v>49</v>
      </c>
      <c r="G9" s="8">
        <f t="shared" ca="1" si="11"/>
        <v>48.223475853166235</v>
      </c>
      <c r="H9" s="10">
        <f t="shared" ca="1" si="2"/>
        <v>61.770363806204834</v>
      </c>
      <c r="I9" s="10">
        <f t="shared" ca="1" si="3"/>
        <v>39.195734819324215</v>
      </c>
      <c r="J9" s="10">
        <f t="shared" si="4"/>
        <v>2401</v>
      </c>
      <c r="K9" s="10">
        <f t="shared" ca="1" si="5"/>
        <v>8.3369772431294624</v>
      </c>
      <c r="L9" s="10">
        <f t="shared" ca="1" si="6"/>
        <v>81.500108174114914</v>
      </c>
      <c r="M9" s="10">
        <f t="shared" ca="1" si="7"/>
        <v>70.107341049334295</v>
      </c>
      <c r="N9" s="10">
        <f t="shared" ca="1" si="8"/>
        <v>53.433386563075373</v>
      </c>
      <c r="O9" s="10">
        <f t="shared" ca="1" si="9"/>
        <v>86.781295535593216</v>
      </c>
      <c r="P9" s="8">
        <f t="shared" ca="1" si="10"/>
        <v>36.759432076816445</v>
      </c>
    </row>
    <row r="10" spans="1:32" ht="15.75" thickBot="1" x14ac:dyDescent="0.3">
      <c r="A10" s="13" t="s">
        <v>34</v>
      </c>
      <c r="B10" s="8">
        <f ca="1">SQRT(SUM(L3:L101)/(n-2))</f>
        <v>5.592773206677319</v>
      </c>
      <c r="C10" s="10"/>
      <c r="D10" s="7">
        <f t="shared" ca="1" si="0"/>
        <v>-1.0938280595572072</v>
      </c>
      <c r="E10" s="8">
        <f t="shared" ca="1" si="1"/>
        <v>-0.22553854683813002</v>
      </c>
      <c r="F10" s="7">
        <f>8^$B$17</f>
        <v>64</v>
      </c>
      <c r="G10" s="8">
        <f t="shared" ca="1" si="11"/>
        <v>52.992364044833131</v>
      </c>
      <c r="H10" s="10">
        <f t="shared" ca="1" si="2"/>
        <v>68.516285840344366</v>
      </c>
      <c r="I10" s="10">
        <f t="shared" ca="1" si="3"/>
        <v>49.799670428569328</v>
      </c>
      <c r="J10" s="10">
        <f t="shared" si="4"/>
        <v>4096</v>
      </c>
      <c r="K10" s="10">
        <f t="shared" ca="1" si="5"/>
        <v>8.5276533699009125</v>
      </c>
      <c r="L10" s="10">
        <f t="shared" ca="1" si="6"/>
        <v>10.193292527331662</v>
      </c>
      <c r="M10" s="10">
        <f t="shared" ca="1" si="7"/>
        <v>77.043939210245284</v>
      </c>
      <c r="N10" s="10">
        <f t="shared" ca="1" si="8"/>
        <v>59.988632470443456</v>
      </c>
      <c r="O10" s="10">
        <f t="shared" ca="1" si="9"/>
        <v>94.099245950047106</v>
      </c>
      <c r="P10" s="8">
        <f t="shared" ca="1" si="10"/>
        <v>42.933325730641627</v>
      </c>
    </row>
    <row r="11" spans="1:32" ht="15.75" thickBot="1" x14ac:dyDescent="0.3">
      <c r="A11" s="41" t="s">
        <v>52</v>
      </c>
      <c r="B11" s="42">
        <f ca="1">2/D/((n/D-ABS(m)^2/t^2/sigma_y^2))*(SUM(F3:F101)-SQRT(SUM(F3:F101)^2-D^2*(n/D-ABS(m)^2/t^2/sigma_y^2)*(SUM(J3:J101)/D+1/k)))</f>
        <v>50.170995468394892</v>
      </c>
      <c r="C11" s="24"/>
      <c r="D11" s="7">
        <f t="shared" ca="1" si="0"/>
        <v>-1.494563937611342</v>
      </c>
      <c r="E11" s="8">
        <f t="shared" ca="1" si="1"/>
        <v>-1.2786583711062272</v>
      </c>
      <c r="F11" s="7">
        <f>9^$B$17</f>
        <v>81</v>
      </c>
      <c r="G11" s="8">
        <f t="shared" ca="1" si="11"/>
        <v>61.920057180228582</v>
      </c>
      <c r="H11" s="10">
        <f t="shared" ca="1" si="2"/>
        <v>81.145124977596083</v>
      </c>
      <c r="I11" s="10">
        <f ca="1">m*F11+b</f>
        <v>61.817464119047116</v>
      </c>
      <c r="J11" s="10">
        <f>F11^2</f>
        <v>6561</v>
      </c>
      <c r="K11" s="10">
        <f t="shared" ca="1" si="5"/>
        <v>8.9221530145972885</v>
      </c>
      <c r="L11" s="10">
        <f t="shared" ca="1" si="6"/>
        <v>1.052533620258472E-2</v>
      </c>
      <c r="M11" s="10">
        <f t="shared" ca="1" si="7"/>
        <v>90.067277992193368</v>
      </c>
      <c r="N11" s="10">
        <f t="shared" ca="1" si="8"/>
        <v>72.222971962998798</v>
      </c>
      <c r="O11" s="10">
        <f t="shared" ca="1" si="9"/>
        <v>107.91158402138795</v>
      </c>
      <c r="P11" s="8">
        <f t="shared" ca="1" si="10"/>
        <v>54.378665933804214</v>
      </c>
    </row>
    <row r="12" spans="1:32" ht="15.75" thickBot="1" x14ac:dyDescent="0.3">
      <c r="A12" s="48" t="s">
        <v>42</v>
      </c>
      <c r="B12" s="49">
        <f ca="1">'Eqns from Currie and Svehla'!B15</f>
        <v>51.514291712854813</v>
      </c>
      <c r="C12" s="24"/>
      <c r="D12" s="7">
        <f t="shared" ca="1" si="0"/>
        <v>-2.1171216101916612</v>
      </c>
      <c r="E12" s="8">
        <f t="shared" ca="1" si="1"/>
        <v>0.3119008654847345</v>
      </c>
      <c r="F12" s="7">
        <f>10^$B$17</f>
        <v>100</v>
      </c>
      <c r="G12" s="8">
        <f t="shared" ca="1" si="11"/>
        <v>66.75992655660265</v>
      </c>
      <c r="H12" s="10">
        <f t="shared" ref="H12" ca="1" si="12">(G12-b)/m</f>
        <v>87.991454804638423</v>
      </c>
      <c r="I12" s="10">
        <f ca="1">m*F12+b</f>
        <v>75.249115890757579</v>
      </c>
      <c r="J12" s="10">
        <f t="shared" ref="J12" si="13">F12^2</f>
        <v>10000</v>
      </c>
      <c r="K12" s="10">
        <f t="shared" ref="K12" ca="1" si="14">sigma_y/ABS(m)*SQRT(1/k+F12^2*n/D+SUM($J$3:$J$101)/D-2*F12*SUM($F$3:$F$101)/D)</f>
        <v>9.558861343098382</v>
      </c>
      <c r="L12" s="10">
        <f t="shared" ref="L12" ca="1" si="15">(G12-m*F12-b)^2</f>
        <v>72.066335551129868</v>
      </c>
      <c r="M12" s="10">
        <f t="shared" ref="M12" ca="1" si="16">H12+K12</f>
        <v>97.550316147736808</v>
      </c>
      <c r="N12" s="10">
        <f t="shared" ref="N12" ca="1" si="17">H12-K12</f>
        <v>78.432593461540037</v>
      </c>
      <c r="O12" s="10">
        <f t="shared" ca="1" si="9"/>
        <v>116.66803883393357</v>
      </c>
      <c r="P12" s="8">
        <f t="shared" ca="1" si="10"/>
        <v>59.31487077534328</v>
      </c>
    </row>
    <row r="13" spans="1:32" ht="15.75" thickBot="1" x14ac:dyDescent="0.3">
      <c r="A13" s="48" t="s">
        <v>53</v>
      </c>
      <c r="B13" s="49">
        <f ca="1">2*t*sigma_y/(n*t^2*sigma_y^2-D*m^2)*(t*sigma_y*SUM(F3:F101)-SQRT(D*m^2*SUM(J3:J67)+m^2*D^2))</f>
        <v>51.514291712854828</v>
      </c>
      <c r="C13" s="24"/>
      <c r="D13" s="7"/>
      <c r="E13" s="8"/>
      <c r="F13" s="7"/>
      <c r="G13" s="26"/>
      <c r="H13" s="10"/>
      <c r="I13" s="10"/>
      <c r="J13" s="10"/>
      <c r="K13" s="10"/>
      <c r="L13" s="10"/>
      <c r="M13" s="10"/>
      <c r="N13" s="10"/>
      <c r="O13" s="10"/>
      <c r="P13" s="8"/>
    </row>
    <row r="14" spans="1:32" x14ac:dyDescent="0.25">
      <c r="A14" s="28">
        <v>0</v>
      </c>
      <c r="B14" s="28">
        <f ca="1">b+m*B11/2</f>
        <v>22.289878675743115</v>
      </c>
      <c r="D14" s="7"/>
      <c r="E14" s="8"/>
      <c r="F14" s="7"/>
      <c r="G14" s="26"/>
      <c r="H14" s="10"/>
      <c r="I14" s="10"/>
      <c r="J14" s="10"/>
      <c r="K14" s="10"/>
      <c r="L14" s="10"/>
      <c r="M14" s="10"/>
      <c r="N14" s="10"/>
      <c r="O14" s="10"/>
      <c r="P14" s="8"/>
    </row>
    <row r="15" spans="1:32" x14ac:dyDescent="0.25">
      <c r="A15" s="28">
        <f ca="1">B11</f>
        <v>50.170995468394892</v>
      </c>
      <c r="B15" s="28">
        <f ca="1">B14</f>
        <v>22.289878675743115</v>
      </c>
      <c r="D15" s="7"/>
      <c r="E15" s="8"/>
      <c r="F15" s="7"/>
      <c r="G15" s="26"/>
      <c r="H15" s="10"/>
      <c r="I15" s="10"/>
      <c r="J15" s="10"/>
      <c r="K15" s="10"/>
      <c r="L15" s="10"/>
      <c r="M15" s="10"/>
      <c r="N15" s="10"/>
      <c r="O15" s="10"/>
      <c r="P15" s="8"/>
    </row>
    <row r="16" spans="1:32" ht="15.75" thickBot="1" x14ac:dyDescent="0.3">
      <c r="A16" s="28">
        <f ca="1">A15</f>
        <v>50.170995468394892</v>
      </c>
      <c r="B16" s="28">
        <v>0</v>
      </c>
      <c r="D16" s="7"/>
      <c r="E16" s="8"/>
      <c r="F16" s="7"/>
      <c r="G16" s="26"/>
      <c r="H16" s="10"/>
      <c r="I16" s="10"/>
      <c r="J16" s="10"/>
      <c r="K16" s="10"/>
      <c r="L16" s="10"/>
      <c r="M16" s="10"/>
      <c r="N16" s="10"/>
      <c r="O16" s="10"/>
      <c r="P16" s="8"/>
    </row>
    <row r="17" spans="1:18" x14ac:dyDescent="0.25">
      <c r="A17" s="45" t="s">
        <v>48</v>
      </c>
      <c r="B17" s="39">
        <v>2</v>
      </c>
      <c r="D17" s="7"/>
      <c r="E17" s="8"/>
      <c r="F17" s="7"/>
      <c r="G17" s="26"/>
      <c r="H17" s="10"/>
      <c r="I17" s="10"/>
      <c r="J17" s="10"/>
      <c r="K17" s="10"/>
      <c r="L17" s="10"/>
      <c r="M17" s="10"/>
      <c r="N17" s="10"/>
      <c r="O17" s="10"/>
      <c r="P17" s="8"/>
    </row>
    <row r="18" spans="1:18" x14ac:dyDescent="0.25">
      <c r="A18" s="46" t="s">
        <v>47</v>
      </c>
      <c r="B18" s="44">
        <v>0.05</v>
      </c>
      <c r="D18" s="7"/>
      <c r="E18" s="8"/>
      <c r="F18" s="7"/>
      <c r="G18" s="26"/>
      <c r="H18" s="10"/>
      <c r="I18" s="10"/>
      <c r="J18" s="10"/>
      <c r="K18" s="10"/>
      <c r="L18" s="10"/>
      <c r="M18" s="10"/>
      <c r="N18" s="10"/>
      <c r="O18" s="10"/>
      <c r="P18" s="8"/>
      <c r="R18" s="4"/>
    </row>
    <row r="19" spans="1:18" ht="15.75" thickBot="1" x14ac:dyDescent="0.3">
      <c r="A19" s="47" t="s">
        <v>46</v>
      </c>
      <c r="B19" s="40">
        <v>0.05</v>
      </c>
      <c r="D19" s="7"/>
      <c r="E19" s="8"/>
      <c r="F19" s="7"/>
      <c r="G19" s="26"/>
      <c r="H19" s="10"/>
      <c r="I19" s="10"/>
      <c r="J19" s="10"/>
      <c r="K19" s="10"/>
      <c r="L19" s="10"/>
      <c r="M19" s="10"/>
      <c r="N19" s="10"/>
      <c r="O19" s="10"/>
      <c r="P19" s="8"/>
    </row>
    <row r="20" spans="1:18" ht="15.75" thickBot="1" x14ac:dyDescent="0.3">
      <c r="D20" s="7"/>
      <c r="E20" s="8"/>
      <c r="F20" s="7"/>
      <c r="G20" s="26"/>
      <c r="H20" s="10"/>
      <c r="I20" s="10"/>
      <c r="J20" s="10"/>
      <c r="K20" s="10"/>
      <c r="L20" s="10"/>
      <c r="M20" s="10"/>
      <c r="N20" s="10"/>
      <c r="O20" s="10"/>
      <c r="P20" s="8"/>
    </row>
    <row r="21" spans="1:18" ht="15" customHeight="1" x14ac:dyDescent="0.25">
      <c r="A21" s="86" t="s">
        <v>54</v>
      </c>
      <c r="B21" s="87"/>
      <c r="C21" s="88"/>
      <c r="D21" s="7"/>
      <c r="E21" s="8"/>
      <c r="F21" s="7"/>
      <c r="G21" s="26"/>
      <c r="H21" s="10"/>
      <c r="I21" s="10"/>
      <c r="J21" s="10"/>
      <c r="K21" s="10"/>
      <c r="L21" s="10"/>
      <c r="M21" s="10"/>
      <c r="N21" s="10"/>
      <c r="O21" s="10"/>
      <c r="P21" s="8"/>
    </row>
    <row r="22" spans="1:18" x14ac:dyDescent="0.25">
      <c r="A22" s="89"/>
      <c r="B22" s="90"/>
      <c r="C22" s="91"/>
      <c r="D22" s="7"/>
      <c r="E22" s="8"/>
      <c r="F22" s="7"/>
      <c r="G22" s="26"/>
      <c r="H22" s="10"/>
      <c r="I22" s="10"/>
      <c r="J22" s="10"/>
      <c r="K22" s="10"/>
      <c r="L22" s="10"/>
      <c r="M22" s="10"/>
      <c r="N22" s="10"/>
      <c r="O22" s="10"/>
      <c r="P22" s="8"/>
      <c r="R22" s="1"/>
    </row>
    <row r="23" spans="1:18" x14ac:dyDescent="0.25">
      <c r="A23" s="89"/>
      <c r="B23" s="90"/>
      <c r="C23" s="91"/>
      <c r="D23" s="7"/>
      <c r="E23" s="8"/>
      <c r="F23" s="7"/>
      <c r="G23" s="26"/>
      <c r="H23" s="10"/>
      <c r="I23" s="10"/>
      <c r="J23" s="10"/>
      <c r="K23" s="10"/>
      <c r="L23" s="10"/>
      <c r="M23" s="10"/>
      <c r="N23" s="10"/>
      <c r="O23" s="10"/>
      <c r="P23" s="8"/>
    </row>
    <row r="24" spans="1:18" x14ac:dyDescent="0.25">
      <c r="A24" s="89"/>
      <c r="B24" s="90"/>
      <c r="C24" s="91"/>
      <c r="D24" s="7"/>
      <c r="E24" s="8"/>
      <c r="F24" s="7"/>
      <c r="G24" s="26"/>
      <c r="H24" s="10"/>
      <c r="I24" s="10"/>
      <c r="J24" s="10"/>
      <c r="K24" s="10"/>
      <c r="L24" s="10"/>
      <c r="M24" s="10"/>
      <c r="N24" s="10"/>
      <c r="O24" s="10"/>
      <c r="P24" s="8"/>
    </row>
    <row r="25" spans="1:18" ht="15.75" thickBot="1" x14ac:dyDescent="0.3">
      <c r="A25" s="92"/>
      <c r="B25" s="93"/>
      <c r="C25" s="94"/>
      <c r="D25" s="7"/>
      <c r="E25" s="8"/>
      <c r="F25" s="7"/>
      <c r="G25" s="26"/>
      <c r="H25" s="10"/>
      <c r="I25" s="10"/>
      <c r="J25" s="10"/>
      <c r="K25" s="10"/>
      <c r="L25" s="10"/>
      <c r="M25" s="10"/>
      <c r="N25" s="10"/>
      <c r="O25" s="10"/>
      <c r="P25" s="8"/>
      <c r="Q25" s="1"/>
    </row>
    <row r="26" spans="1:18" x14ac:dyDescent="0.25">
      <c r="D26" s="7"/>
      <c r="E26" s="8"/>
      <c r="F26" s="7"/>
      <c r="G26" s="26"/>
      <c r="H26" s="10"/>
      <c r="I26" s="10"/>
      <c r="J26" s="10"/>
      <c r="K26" s="10"/>
      <c r="L26" s="10"/>
      <c r="M26" s="10"/>
      <c r="N26" s="10"/>
      <c r="O26" s="10"/>
      <c r="P26" s="8"/>
      <c r="Q26" s="1"/>
    </row>
    <row r="27" spans="1:18" x14ac:dyDescent="0.25">
      <c r="D27" s="7"/>
      <c r="E27" s="8"/>
      <c r="F27" s="7"/>
      <c r="G27" s="26"/>
      <c r="H27" s="10"/>
      <c r="I27" s="10"/>
      <c r="J27" s="10"/>
      <c r="K27" s="10"/>
      <c r="L27" s="10"/>
      <c r="M27" s="10"/>
      <c r="N27" s="10"/>
      <c r="O27" s="10"/>
      <c r="P27" s="8"/>
      <c r="Q27" s="1"/>
      <c r="R27" s="1"/>
    </row>
    <row r="28" spans="1:18" x14ac:dyDescent="0.25">
      <c r="D28" s="7"/>
      <c r="E28" s="8"/>
      <c r="F28" s="7"/>
      <c r="G28" s="26"/>
      <c r="H28" s="10"/>
      <c r="I28" s="10"/>
      <c r="J28" s="10"/>
      <c r="K28" s="10"/>
      <c r="L28" s="10"/>
      <c r="M28" s="10"/>
      <c r="N28" s="10"/>
      <c r="O28" s="10"/>
      <c r="P28" s="8"/>
    </row>
    <row r="29" spans="1:18" x14ac:dyDescent="0.25">
      <c r="D29" s="7"/>
      <c r="E29" s="8"/>
      <c r="F29" s="7"/>
      <c r="G29" s="26"/>
      <c r="H29" s="10"/>
      <c r="I29" s="10"/>
      <c r="J29" s="10"/>
      <c r="K29" s="10"/>
      <c r="L29" s="10"/>
      <c r="M29" s="10"/>
      <c r="N29" s="10"/>
      <c r="O29" s="10"/>
      <c r="P29" s="8"/>
    </row>
    <row r="30" spans="1:18" x14ac:dyDescent="0.25">
      <c r="D30" s="7"/>
      <c r="E30" s="8"/>
      <c r="F30" s="7"/>
      <c r="G30" s="26"/>
      <c r="H30" s="10"/>
      <c r="I30" s="10"/>
      <c r="J30" s="10"/>
      <c r="K30" s="10"/>
      <c r="L30" s="10"/>
      <c r="M30" s="10"/>
      <c r="N30" s="10"/>
      <c r="O30" s="10"/>
      <c r="P30" s="8"/>
    </row>
    <row r="31" spans="1:18" x14ac:dyDescent="0.25">
      <c r="D31" s="7"/>
      <c r="E31" s="8"/>
      <c r="F31" s="7"/>
      <c r="G31" s="26"/>
      <c r="H31" s="10"/>
      <c r="I31" s="10"/>
      <c r="J31" s="10"/>
      <c r="K31" s="10"/>
      <c r="L31" s="10"/>
      <c r="M31" s="10"/>
      <c r="N31" s="10"/>
      <c r="O31" s="10"/>
      <c r="P31" s="8"/>
    </row>
    <row r="32" spans="1:18" x14ac:dyDescent="0.25">
      <c r="D32" s="7"/>
      <c r="E32" s="8"/>
      <c r="F32" s="7"/>
      <c r="G32" s="26"/>
      <c r="H32" s="10"/>
      <c r="I32" s="10"/>
      <c r="J32" s="10"/>
      <c r="K32" s="10"/>
      <c r="L32" s="10"/>
      <c r="M32" s="10"/>
      <c r="N32" s="10"/>
      <c r="O32" s="10"/>
      <c r="P32" s="8"/>
    </row>
    <row r="33" spans="4:16" x14ac:dyDescent="0.25">
      <c r="D33" s="7"/>
      <c r="E33" s="8"/>
      <c r="F33" s="7"/>
      <c r="G33" s="26"/>
      <c r="H33" s="10"/>
      <c r="I33" s="10"/>
      <c r="J33" s="10"/>
      <c r="K33" s="10"/>
      <c r="L33" s="10"/>
      <c r="M33" s="10"/>
      <c r="N33" s="10"/>
      <c r="O33" s="10"/>
      <c r="P33" s="8"/>
    </row>
    <row r="34" spans="4:16" x14ac:dyDescent="0.25">
      <c r="D34" s="7"/>
      <c r="E34" s="8"/>
      <c r="F34" s="7"/>
      <c r="G34" s="26"/>
      <c r="H34" s="10"/>
      <c r="I34" s="10"/>
      <c r="J34" s="10"/>
      <c r="K34" s="10"/>
      <c r="L34" s="10"/>
      <c r="M34" s="10"/>
      <c r="N34" s="10"/>
      <c r="O34" s="10"/>
      <c r="P34" s="8"/>
    </row>
    <row r="35" spans="4:16" x14ac:dyDescent="0.25">
      <c r="D35" s="7"/>
      <c r="E35" s="8"/>
      <c r="F35" s="7"/>
      <c r="G35" s="26"/>
      <c r="H35" s="10"/>
      <c r="I35" s="10"/>
      <c r="J35" s="10"/>
      <c r="K35" s="10"/>
      <c r="L35" s="10"/>
      <c r="M35" s="10"/>
      <c r="N35" s="10"/>
      <c r="O35" s="10"/>
      <c r="P35" s="8"/>
    </row>
    <row r="36" spans="4:16" x14ac:dyDescent="0.25">
      <c r="D36" s="7"/>
      <c r="E36" s="8"/>
      <c r="F36" s="7"/>
      <c r="G36" s="26"/>
      <c r="H36" s="10"/>
      <c r="I36" s="10"/>
      <c r="J36" s="10"/>
      <c r="K36" s="10"/>
      <c r="L36" s="10"/>
      <c r="M36" s="10"/>
      <c r="N36" s="10"/>
      <c r="O36" s="10"/>
      <c r="P36" s="8"/>
    </row>
    <row r="37" spans="4:16" x14ac:dyDescent="0.25">
      <c r="D37" s="7"/>
      <c r="E37" s="8"/>
      <c r="F37" s="7"/>
      <c r="G37" s="26"/>
      <c r="H37" s="10"/>
      <c r="I37" s="10"/>
      <c r="J37" s="10"/>
      <c r="K37" s="10"/>
      <c r="L37" s="10"/>
      <c r="M37" s="10"/>
      <c r="N37" s="10"/>
      <c r="O37" s="10"/>
      <c r="P37" s="8"/>
    </row>
    <row r="38" spans="4:16" x14ac:dyDescent="0.25">
      <c r="D38" s="7"/>
      <c r="E38" s="8"/>
      <c r="F38" s="7"/>
      <c r="G38" s="26"/>
      <c r="H38" s="10"/>
      <c r="I38" s="10"/>
      <c r="J38" s="10"/>
      <c r="K38" s="10"/>
      <c r="L38" s="10"/>
      <c r="M38" s="10"/>
      <c r="N38" s="10"/>
      <c r="O38" s="10"/>
      <c r="P38" s="8"/>
    </row>
    <row r="39" spans="4:16" x14ac:dyDescent="0.25">
      <c r="D39" s="7"/>
      <c r="E39" s="8"/>
      <c r="F39" s="7"/>
      <c r="G39" s="26"/>
      <c r="H39" s="10"/>
      <c r="I39" s="10"/>
      <c r="J39" s="10"/>
      <c r="K39" s="10"/>
      <c r="L39" s="10"/>
      <c r="M39" s="10"/>
      <c r="N39" s="10"/>
      <c r="O39" s="10"/>
      <c r="P39" s="8"/>
    </row>
    <row r="40" spans="4:16" x14ac:dyDescent="0.25">
      <c r="D40" s="7"/>
      <c r="E40" s="8"/>
      <c r="F40" s="7"/>
      <c r="G40" s="26"/>
      <c r="H40" s="10"/>
      <c r="I40" s="10"/>
      <c r="J40" s="10"/>
      <c r="K40" s="10"/>
      <c r="L40" s="10"/>
      <c r="M40" s="10"/>
      <c r="N40" s="10"/>
      <c r="O40" s="10"/>
      <c r="P40" s="8"/>
    </row>
    <row r="41" spans="4:16" x14ac:dyDescent="0.25">
      <c r="D41" s="7"/>
      <c r="E41" s="8"/>
      <c r="F41" s="7"/>
      <c r="G41" s="26"/>
      <c r="H41" s="10"/>
      <c r="I41" s="10"/>
      <c r="J41" s="10"/>
      <c r="K41" s="10"/>
      <c r="L41" s="10"/>
      <c r="M41" s="10"/>
      <c r="N41" s="10"/>
      <c r="O41" s="10"/>
      <c r="P41" s="8"/>
    </row>
    <row r="42" spans="4:16" x14ac:dyDescent="0.25">
      <c r="D42" s="7"/>
      <c r="E42" s="8"/>
      <c r="F42" s="7"/>
      <c r="G42" s="26"/>
      <c r="H42" s="10"/>
      <c r="I42" s="10"/>
      <c r="J42" s="10"/>
      <c r="K42" s="10"/>
      <c r="L42" s="10"/>
      <c r="M42" s="10"/>
      <c r="N42" s="10"/>
      <c r="O42" s="10"/>
      <c r="P42" s="8"/>
    </row>
    <row r="43" spans="4:16" x14ac:dyDescent="0.25">
      <c r="D43" s="7"/>
      <c r="E43" s="8"/>
      <c r="F43" s="7"/>
      <c r="G43" s="26"/>
      <c r="H43" s="10"/>
      <c r="I43" s="10"/>
      <c r="J43" s="10"/>
      <c r="K43" s="10"/>
      <c r="L43" s="10"/>
      <c r="M43" s="10"/>
      <c r="N43" s="10"/>
      <c r="O43" s="10"/>
      <c r="P43" s="8"/>
    </row>
    <row r="44" spans="4:16" x14ac:dyDescent="0.25">
      <c r="D44" s="7"/>
      <c r="E44" s="8"/>
      <c r="F44" s="7"/>
      <c r="G44" s="26"/>
      <c r="H44" s="10"/>
      <c r="I44" s="10"/>
      <c r="J44" s="10"/>
      <c r="K44" s="10"/>
      <c r="L44" s="10"/>
      <c r="M44" s="10"/>
      <c r="N44" s="10"/>
      <c r="O44" s="10"/>
      <c r="P44" s="8"/>
    </row>
    <row r="45" spans="4:16" x14ac:dyDescent="0.25">
      <c r="D45" s="7"/>
      <c r="E45" s="8"/>
      <c r="F45" s="7"/>
      <c r="G45" s="26"/>
      <c r="H45" s="10"/>
      <c r="I45" s="10"/>
      <c r="J45" s="10"/>
      <c r="K45" s="10"/>
      <c r="L45" s="10"/>
      <c r="M45" s="10"/>
      <c r="N45" s="10"/>
      <c r="O45" s="10"/>
      <c r="P45" s="8"/>
    </row>
    <row r="46" spans="4:16" x14ac:dyDescent="0.25">
      <c r="D46" s="7"/>
      <c r="E46" s="8"/>
      <c r="F46" s="7"/>
      <c r="G46" s="26"/>
      <c r="H46" s="10"/>
      <c r="I46" s="10"/>
      <c r="J46" s="10"/>
      <c r="K46" s="10"/>
      <c r="L46" s="10"/>
      <c r="M46" s="10"/>
      <c r="N46" s="10"/>
      <c r="O46" s="10"/>
      <c r="P46" s="8"/>
    </row>
    <row r="47" spans="4:16" x14ac:dyDescent="0.25">
      <c r="D47" s="7"/>
      <c r="E47" s="8"/>
      <c r="F47" s="7"/>
      <c r="G47" s="26"/>
      <c r="H47" s="10"/>
      <c r="I47" s="10"/>
      <c r="J47" s="10"/>
      <c r="K47" s="10"/>
      <c r="L47" s="10"/>
      <c r="M47" s="10"/>
      <c r="N47" s="10"/>
      <c r="O47" s="10"/>
      <c r="P47" s="8"/>
    </row>
    <row r="48" spans="4:16" x14ac:dyDescent="0.25">
      <c r="D48" s="7"/>
      <c r="E48" s="8"/>
      <c r="F48" s="7"/>
      <c r="G48" s="26"/>
      <c r="H48" s="10"/>
      <c r="I48" s="10"/>
      <c r="J48" s="10"/>
      <c r="K48" s="10"/>
      <c r="L48" s="10"/>
      <c r="M48" s="10"/>
      <c r="N48" s="10"/>
      <c r="O48" s="10"/>
      <c r="P48" s="8"/>
    </row>
    <row r="49" spans="4:16" x14ac:dyDescent="0.25">
      <c r="D49" s="7"/>
      <c r="E49" s="8"/>
      <c r="F49" s="7"/>
      <c r="G49" s="26"/>
      <c r="H49" s="10"/>
      <c r="I49" s="10"/>
      <c r="J49" s="10"/>
      <c r="K49" s="10"/>
      <c r="L49" s="10"/>
      <c r="M49" s="10"/>
      <c r="N49" s="10"/>
      <c r="O49" s="10"/>
      <c r="P49" s="8"/>
    </row>
    <row r="50" spans="4:16" x14ac:dyDescent="0.25">
      <c r="D50" s="7"/>
      <c r="E50" s="8"/>
      <c r="F50" s="7"/>
      <c r="G50" s="26"/>
      <c r="H50" s="10"/>
      <c r="I50" s="10"/>
      <c r="J50" s="10"/>
      <c r="K50" s="10"/>
      <c r="L50" s="10"/>
      <c r="M50" s="10"/>
      <c r="N50" s="10"/>
      <c r="O50" s="10"/>
      <c r="P50" s="8"/>
    </row>
    <row r="51" spans="4:16" x14ac:dyDescent="0.25">
      <c r="D51" s="7"/>
      <c r="E51" s="8"/>
      <c r="F51" s="7"/>
      <c r="G51" s="26"/>
      <c r="H51" s="10"/>
      <c r="I51" s="10"/>
      <c r="J51" s="10"/>
      <c r="K51" s="10"/>
      <c r="L51" s="10"/>
      <c r="M51" s="10"/>
      <c r="N51" s="10"/>
      <c r="O51" s="10"/>
      <c r="P51" s="8"/>
    </row>
    <row r="52" spans="4:16" x14ac:dyDescent="0.25">
      <c r="D52" s="7"/>
      <c r="E52" s="8"/>
      <c r="F52" s="7"/>
      <c r="G52" s="26"/>
      <c r="H52" s="10"/>
      <c r="I52" s="10"/>
      <c r="J52" s="10"/>
      <c r="K52" s="10"/>
      <c r="L52" s="10"/>
      <c r="M52" s="10"/>
      <c r="N52" s="10"/>
      <c r="O52" s="10"/>
      <c r="P52" s="8"/>
    </row>
    <row r="53" spans="4:16" x14ac:dyDescent="0.25">
      <c r="D53" s="7"/>
      <c r="E53" s="8"/>
      <c r="F53" s="7"/>
      <c r="G53" s="26"/>
      <c r="H53" s="10"/>
      <c r="I53" s="10"/>
      <c r="J53" s="10"/>
      <c r="K53" s="10"/>
      <c r="L53" s="10"/>
      <c r="M53" s="10"/>
      <c r="N53" s="10"/>
      <c r="O53" s="10"/>
      <c r="P53" s="8"/>
    </row>
    <row r="54" spans="4:16" x14ac:dyDescent="0.25">
      <c r="D54" s="7"/>
      <c r="E54" s="8"/>
      <c r="F54" s="7"/>
      <c r="G54" s="26"/>
      <c r="H54" s="10"/>
      <c r="I54" s="10"/>
      <c r="J54" s="10"/>
      <c r="K54" s="10"/>
      <c r="L54" s="10"/>
      <c r="M54" s="10"/>
      <c r="N54" s="10"/>
      <c r="O54" s="10"/>
      <c r="P54" s="8"/>
    </row>
    <row r="55" spans="4:16" x14ac:dyDescent="0.25">
      <c r="D55" s="7"/>
      <c r="E55" s="8"/>
      <c r="F55" s="7"/>
      <c r="G55" s="26"/>
      <c r="H55" s="10"/>
      <c r="I55" s="10"/>
      <c r="J55" s="10"/>
      <c r="K55" s="10"/>
      <c r="L55" s="10"/>
      <c r="M55" s="10"/>
      <c r="N55" s="10"/>
      <c r="O55" s="10"/>
      <c r="P55" s="8"/>
    </row>
    <row r="56" spans="4:16" x14ac:dyDescent="0.25">
      <c r="D56" s="7"/>
      <c r="E56" s="8"/>
      <c r="F56" s="7"/>
      <c r="G56" s="26"/>
      <c r="H56" s="10"/>
      <c r="I56" s="10"/>
      <c r="J56" s="10"/>
      <c r="K56" s="10"/>
      <c r="L56" s="10"/>
      <c r="M56" s="10"/>
      <c r="N56" s="10"/>
      <c r="O56" s="10"/>
      <c r="P56" s="8"/>
    </row>
    <row r="57" spans="4:16" x14ac:dyDescent="0.25">
      <c r="D57" s="7"/>
      <c r="E57" s="8"/>
      <c r="F57" s="7"/>
      <c r="G57" s="26"/>
      <c r="H57" s="10"/>
      <c r="I57" s="10"/>
      <c r="J57" s="10"/>
      <c r="K57" s="10"/>
      <c r="L57" s="10"/>
      <c r="M57" s="10"/>
      <c r="N57" s="10"/>
      <c r="O57" s="10"/>
      <c r="P57" s="8"/>
    </row>
    <row r="58" spans="4:16" x14ac:dyDescent="0.25">
      <c r="D58" s="7"/>
      <c r="E58" s="8"/>
      <c r="F58" s="7"/>
      <c r="G58" s="26"/>
      <c r="H58" s="10"/>
      <c r="I58" s="10"/>
      <c r="J58" s="10"/>
      <c r="K58" s="10"/>
      <c r="L58" s="10"/>
      <c r="M58" s="10"/>
      <c r="N58" s="10"/>
      <c r="O58" s="10"/>
      <c r="P58" s="8"/>
    </row>
    <row r="59" spans="4:16" x14ac:dyDescent="0.25">
      <c r="D59" s="7"/>
      <c r="E59" s="8"/>
      <c r="F59" s="7"/>
      <c r="G59" s="26"/>
      <c r="H59" s="10"/>
      <c r="I59" s="10"/>
      <c r="J59" s="10"/>
      <c r="K59" s="10"/>
      <c r="L59" s="10"/>
      <c r="M59" s="10"/>
      <c r="N59" s="10"/>
      <c r="O59" s="10"/>
      <c r="P59" s="8"/>
    </row>
    <row r="60" spans="4:16" x14ac:dyDescent="0.25">
      <c r="D60" s="7"/>
      <c r="E60" s="8"/>
      <c r="F60" s="7"/>
      <c r="G60" s="26"/>
      <c r="H60" s="10"/>
      <c r="I60" s="10"/>
      <c r="J60" s="10"/>
      <c r="K60" s="10"/>
      <c r="L60" s="10"/>
      <c r="M60" s="10"/>
      <c r="N60" s="10"/>
      <c r="O60" s="10"/>
      <c r="P60" s="8"/>
    </row>
    <row r="61" spans="4:16" x14ac:dyDescent="0.25">
      <c r="D61" s="7"/>
      <c r="E61" s="8"/>
      <c r="F61" s="7"/>
      <c r="G61" s="26"/>
      <c r="H61" s="10"/>
      <c r="I61" s="10"/>
      <c r="J61" s="10"/>
      <c r="K61" s="10"/>
      <c r="L61" s="10"/>
      <c r="M61" s="10"/>
      <c r="N61" s="10"/>
      <c r="O61" s="10"/>
      <c r="P61" s="8"/>
    </row>
    <row r="62" spans="4:16" x14ac:dyDescent="0.25">
      <c r="D62" s="7"/>
      <c r="E62" s="8"/>
      <c r="F62" s="7"/>
      <c r="G62" s="26"/>
      <c r="H62" s="10"/>
      <c r="I62" s="10"/>
      <c r="J62" s="10"/>
      <c r="K62" s="10"/>
      <c r="L62" s="10"/>
      <c r="M62" s="10"/>
      <c r="N62" s="10"/>
      <c r="O62" s="10"/>
      <c r="P62" s="8"/>
    </row>
    <row r="63" spans="4:16" x14ac:dyDescent="0.25">
      <c r="D63" s="7"/>
      <c r="E63" s="8"/>
      <c r="F63" s="7"/>
      <c r="G63" s="26"/>
      <c r="H63" s="10"/>
      <c r="I63" s="10"/>
      <c r="J63" s="10"/>
      <c r="K63" s="10"/>
      <c r="L63" s="10"/>
      <c r="M63" s="10"/>
      <c r="N63" s="10"/>
      <c r="O63" s="10"/>
      <c r="P63" s="8"/>
    </row>
    <row r="64" spans="4:16" x14ac:dyDescent="0.25">
      <c r="D64" s="7"/>
      <c r="E64" s="8"/>
      <c r="F64" s="7"/>
      <c r="G64" s="26"/>
      <c r="H64" s="10"/>
      <c r="I64" s="10"/>
      <c r="J64" s="10"/>
      <c r="K64" s="10"/>
      <c r="L64" s="10"/>
      <c r="M64" s="10"/>
      <c r="N64" s="10"/>
      <c r="O64" s="10"/>
      <c r="P64" s="8"/>
    </row>
    <row r="65" spans="4:16" x14ac:dyDescent="0.25">
      <c r="D65" s="7"/>
      <c r="E65" s="8"/>
      <c r="F65" s="7"/>
      <c r="G65" s="26"/>
      <c r="H65" s="10"/>
      <c r="I65" s="10"/>
      <c r="J65" s="10"/>
      <c r="K65" s="10"/>
      <c r="L65" s="10"/>
      <c r="M65" s="10"/>
      <c r="N65" s="10"/>
      <c r="O65" s="10"/>
      <c r="P65" s="8"/>
    </row>
    <row r="66" spans="4:16" x14ac:dyDescent="0.25">
      <c r="D66" s="7"/>
      <c r="E66" s="8"/>
      <c r="F66" s="7"/>
      <c r="G66" s="26"/>
      <c r="H66" s="10"/>
      <c r="I66" s="10"/>
      <c r="J66" s="10"/>
      <c r="K66" s="10"/>
      <c r="L66" s="10"/>
      <c r="M66" s="10"/>
      <c r="N66" s="10"/>
      <c r="O66" s="10"/>
      <c r="P66" s="8"/>
    </row>
    <row r="67" spans="4:16" x14ac:dyDescent="0.25">
      <c r="D67" s="7"/>
      <c r="E67" s="8"/>
      <c r="F67" s="7"/>
      <c r="G67" s="26"/>
      <c r="H67" s="10"/>
      <c r="I67" s="10"/>
      <c r="J67" s="10"/>
      <c r="K67" s="10"/>
      <c r="L67" s="10"/>
      <c r="M67" s="10"/>
      <c r="N67" s="10"/>
      <c r="O67" s="10"/>
      <c r="P67" s="8"/>
    </row>
    <row r="68" spans="4:16" x14ac:dyDescent="0.25">
      <c r="D68" s="7"/>
      <c r="E68" s="8"/>
      <c r="F68" s="7"/>
      <c r="G68" s="26"/>
      <c r="H68" s="10"/>
      <c r="I68" s="10"/>
      <c r="J68" s="10"/>
      <c r="K68" s="10"/>
      <c r="L68" s="10"/>
      <c r="M68" s="10"/>
      <c r="N68" s="10"/>
      <c r="O68" s="10"/>
      <c r="P68" s="8"/>
    </row>
    <row r="69" spans="4:16" x14ac:dyDescent="0.25">
      <c r="D69" s="7"/>
      <c r="E69" s="8"/>
      <c r="F69" s="7"/>
      <c r="G69" s="26"/>
      <c r="H69" s="10"/>
      <c r="I69" s="10"/>
      <c r="J69" s="10"/>
      <c r="K69" s="10"/>
      <c r="L69" s="10"/>
      <c r="M69" s="10"/>
      <c r="N69" s="10"/>
      <c r="O69" s="10"/>
      <c r="P69" s="8"/>
    </row>
    <row r="70" spans="4:16" x14ac:dyDescent="0.25">
      <c r="D70" s="7"/>
      <c r="E70" s="8"/>
      <c r="F70" s="7"/>
      <c r="G70" s="26"/>
      <c r="H70" s="10"/>
      <c r="I70" s="10"/>
      <c r="J70" s="10"/>
      <c r="K70" s="10"/>
      <c r="L70" s="10"/>
      <c r="M70" s="10"/>
      <c r="N70" s="10"/>
      <c r="O70" s="10"/>
      <c r="P70" s="8"/>
    </row>
    <row r="71" spans="4:16" x14ac:dyDescent="0.25">
      <c r="D71" s="7"/>
      <c r="E71" s="8"/>
      <c r="F71" s="7"/>
      <c r="G71" s="26"/>
      <c r="H71" s="10"/>
      <c r="I71" s="10"/>
      <c r="J71" s="10"/>
      <c r="K71" s="10"/>
      <c r="L71" s="10"/>
      <c r="M71" s="10"/>
      <c r="N71" s="10"/>
      <c r="O71" s="10"/>
      <c r="P71" s="8"/>
    </row>
    <row r="72" spans="4:16" x14ac:dyDescent="0.25">
      <c r="D72" s="7"/>
      <c r="E72" s="8"/>
      <c r="F72" s="7"/>
      <c r="G72" s="26"/>
      <c r="H72" s="10"/>
      <c r="I72" s="10"/>
      <c r="J72" s="10"/>
      <c r="K72" s="10"/>
      <c r="L72" s="10"/>
      <c r="M72" s="10"/>
      <c r="N72" s="10"/>
      <c r="O72" s="10"/>
      <c r="P72" s="8"/>
    </row>
    <row r="73" spans="4:16" x14ac:dyDescent="0.25">
      <c r="D73" s="7"/>
      <c r="E73" s="8"/>
      <c r="F73" s="7"/>
      <c r="G73" s="26"/>
      <c r="H73" s="10"/>
      <c r="I73" s="10"/>
      <c r="J73" s="10"/>
      <c r="K73" s="10"/>
      <c r="L73" s="10"/>
      <c r="M73" s="10"/>
      <c r="N73" s="10"/>
      <c r="O73" s="10"/>
      <c r="P73" s="8"/>
    </row>
    <row r="74" spans="4:16" x14ac:dyDescent="0.25">
      <c r="D74" s="7"/>
      <c r="E74" s="8"/>
      <c r="F74" s="7"/>
      <c r="G74" s="26"/>
      <c r="H74" s="10"/>
      <c r="I74" s="10"/>
      <c r="J74" s="10"/>
      <c r="K74" s="10"/>
      <c r="L74" s="10"/>
      <c r="M74" s="10"/>
      <c r="N74" s="10"/>
      <c r="O74" s="10"/>
      <c r="P74" s="8"/>
    </row>
    <row r="75" spans="4:16" x14ac:dyDescent="0.25">
      <c r="D75" s="7"/>
      <c r="E75" s="8"/>
      <c r="F75" s="7"/>
      <c r="G75" s="26"/>
      <c r="H75" s="10"/>
      <c r="I75" s="10"/>
      <c r="J75" s="10"/>
      <c r="K75" s="10"/>
      <c r="L75" s="10"/>
      <c r="M75" s="10"/>
      <c r="N75" s="10"/>
      <c r="O75" s="10"/>
      <c r="P75" s="8"/>
    </row>
    <row r="76" spans="4:16" x14ac:dyDescent="0.25">
      <c r="D76" s="7"/>
      <c r="E76" s="8"/>
      <c r="F76" s="7"/>
      <c r="G76" s="26"/>
      <c r="H76" s="10"/>
      <c r="I76" s="10"/>
      <c r="J76" s="10"/>
      <c r="K76" s="10"/>
      <c r="L76" s="10"/>
      <c r="M76" s="10"/>
      <c r="N76" s="10"/>
      <c r="O76" s="10"/>
      <c r="P76" s="8"/>
    </row>
    <row r="77" spans="4:16" x14ac:dyDescent="0.25">
      <c r="D77" s="7"/>
      <c r="E77" s="8"/>
      <c r="F77" s="7"/>
      <c r="G77" s="26"/>
      <c r="H77" s="10"/>
      <c r="I77" s="10"/>
      <c r="J77" s="10"/>
      <c r="K77" s="10"/>
      <c r="L77" s="10"/>
      <c r="M77" s="10"/>
      <c r="N77" s="10"/>
      <c r="O77" s="10"/>
      <c r="P77" s="8"/>
    </row>
    <row r="78" spans="4:16" x14ac:dyDescent="0.25">
      <c r="D78" s="7"/>
      <c r="E78" s="8"/>
      <c r="F78" s="7"/>
      <c r="G78" s="26"/>
      <c r="H78" s="10"/>
      <c r="I78" s="10"/>
      <c r="J78" s="10"/>
      <c r="K78" s="10"/>
      <c r="L78" s="10"/>
      <c r="M78" s="10"/>
      <c r="N78" s="10"/>
      <c r="O78" s="10"/>
      <c r="P78" s="8"/>
    </row>
    <row r="79" spans="4:16" x14ac:dyDescent="0.25">
      <c r="D79" s="7"/>
      <c r="E79" s="8"/>
      <c r="F79" s="7"/>
      <c r="G79" s="26"/>
      <c r="H79" s="10"/>
      <c r="I79" s="10"/>
      <c r="J79" s="10"/>
      <c r="K79" s="10"/>
      <c r="L79" s="10"/>
      <c r="M79" s="10"/>
      <c r="N79" s="10"/>
      <c r="O79" s="10"/>
      <c r="P79" s="8"/>
    </row>
    <row r="80" spans="4:16" x14ac:dyDescent="0.25">
      <c r="D80" s="7"/>
      <c r="E80" s="8"/>
      <c r="F80" s="7"/>
      <c r="G80" s="26"/>
      <c r="H80" s="10"/>
      <c r="I80" s="10"/>
      <c r="J80" s="10"/>
      <c r="K80" s="10"/>
      <c r="L80" s="10"/>
      <c r="M80" s="10"/>
      <c r="N80" s="10"/>
      <c r="O80" s="10"/>
      <c r="P80" s="8"/>
    </row>
    <row r="81" spans="4:16" x14ac:dyDescent="0.25">
      <c r="D81" s="7"/>
      <c r="E81" s="8"/>
      <c r="F81" s="7"/>
      <c r="G81" s="26"/>
      <c r="H81" s="10"/>
      <c r="I81" s="10"/>
      <c r="J81" s="10"/>
      <c r="K81" s="10"/>
      <c r="L81" s="10"/>
      <c r="M81" s="10"/>
      <c r="N81" s="10"/>
      <c r="O81" s="10"/>
      <c r="P81" s="8"/>
    </row>
    <row r="82" spans="4:16" x14ac:dyDescent="0.25">
      <c r="D82" s="7"/>
      <c r="E82" s="8"/>
      <c r="F82" s="7"/>
      <c r="G82" s="26"/>
      <c r="H82" s="10"/>
      <c r="I82" s="10"/>
      <c r="J82" s="10"/>
      <c r="K82" s="10"/>
      <c r="L82" s="10"/>
      <c r="M82" s="10"/>
      <c r="N82" s="10"/>
      <c r="O82" s="10"/>
      <c r="P82" s="8"/>
    </row>
    <row r="83" spans="4:16" x14ac:dyDescent="0.25">
      <c r="D83" s="7"/>
      <c r="E83" s="8"/>
      <c r="F83" s="7"/>
      <c r="G83" s="26"/>
      <c r="H83" s="10"/>
      <c r="I83" s="10"/>
      <c r="J83" s="10"/>
      <c r="K83" s="10"/>
      <c r="L83" s="10"/>
      <c r="M83" s="10"/>
      <c r="N83" s="10"/>
      <c r="O83" s="10"/>
      <c r="P83" s="8"/>
    </row>
    <row r="84" spans="4:16" x14ac:dyDescent="0.25">
      <c r="D84" s="7"/>
      <c r="E84" s="8"/>
      <c r="F84" s="7"/>
      <c r="G84" s="26"/>
      <c r="H84" s="10"/>
      <c r="I84" s="10"/>
      <c r="J84" s="10"/>
      <c r="K84" s="10"/>
      <c r="L84" s="10"/>
      <c r="M84" s="10"/>
      <c r="N84" s="10"/>
      <c r="O84" s="10"/>
      <c r="P84" s="8"/>
    </row>
    <row r="85" spans="4:16" x14ac:dyDescent="0.25">
      <c r="D85" s="7"/>
      <c r="E85" s="8"/>
      <c r="F85" s="7"/>
      <c r="G85" s="26"/>
      <c r="H85" s="10"/>
      <c r="I85" s="10"/>
      <c r="J85" s="10"/>
      <c r="K85" s="10"/>
      <c r="L85" s="10"/>
      <c r="M85" s="10"/>
      <c r="N85" s="10"/>
      <c r="O85" s="10"/>
      <c r="P85" s="8"/>
    </row>
    <row r="86" spans="4:16" x14ac:dyDescent="0.25">
      <c r="D86" s="7"/>
      <c r="E86" s="8"/>
      <c r="F86" s="7"/>
      <c r="G86" s="26"/>
      <c r="H86" s="10"/>
      <c r="I86" s="10"/>
      <c r="J86" s="10"/>
      <c r="K86" s="10"/>
      <c r="L86" s="10"/>
      <c r="M86" s="10"/>
      <c r="N86" s="10"/>
      <c r="O86" s="10"/>
      <c r="P86" s="8"/>
    </row>
    <row r="87" spans="4:16" x14ac:dyDescent="0.25">
      <c r="D87" s="7"/>
      <c r="E87" s="8"/>
      <c r="F87" s="7"/>
      <c r="G87" s="26"/>
      <c r="H87" s="10"/>
      <c r="I87" s="10"/>
      <c r="J87" s="10"/>
      <c r="K87" s="10"/>
      <c r="L87" s="10"/>
      <c r="M87" s="10"/>
      <c r="N87" s="10"/>
      <c r="O87" s="10"/>
      <c r="P87" s="8"/>
    </row>
    <row r="88" spans="4:16" x14ac:dyDescent="0.25">
      <c r="D88" s="7"/>
      <c r="E88" s="8"/>
      <c r="F88" s="7"/>
      <c r="G88" s="26"/>
      <c r="H88" s="10"/>
      <c r="I88" s="10"/>
      <c r="J88" s="10"/>
      <c r="K88" s="10"/>
      <c r="L88" s="10"/>
      <c r="M88" s="10"/>
      <c r="N88" s="10"/>
      <c r="O88" s="10"/>
      <c r="P88" s="8"/>
    </row>
    <row r="89" spans="4:16" x14ac:dyDescent="0.25">
      <c r="D89" s="7"/>
      <c r="E89" s="8"/>
      <c r="F89" s="7"/>
      <c r="G89" s="26"/>
      <c r="H89" s="10"/>
      <c r="I89" s="10"/>
      <c r="J89" s="10"/>
      <c r="K89" s="10"/>
      <c r="L89" s="10"/>
      <c r="M89" s="10"/>
      <c r="N89" s="10"/>
      <c r="O89" s="10"/>
      <c r="P89" s="8"/>
    </row>
    <row r="90" spans="4:16" x14ac:dyDescent="0.25">
      <c r="D90" s="7"/>
      <c r="E90" s="8"/>
      <c r="F90" s="7"/>
      <c r="G90" s="26"/>
      <c r="H90" s="10"/>
      <c r="I90" s="10"/>
      <c r="J90" s="10"/>
      <c r="K90" s="10"/>
      <c r="L90" s="10"/>
      <c r="M90" s="10"/>
      <c r="N90" s="10"/>
      <c r="O90" s="10"/>
      <c r="P90" s="8"/>
    </row>
    <row r="91" spans="4:16" x14ac:dyDescent="0.25">
      <c r="D91" s="7"/>
      <c r="E91" s="8"/>
      <c r="F91" s="7"/>
      <c r="G91" s="26"/>
      <c r="H91" s="10"/>
      <c r="I91" s="10"/>
      <c r="J91" s="10"/>
      <c r="K91" s="10"/>
      <c r="L91" s="10"/>
      <c r="M91" s="10"/>
      <c r="N91" s="10"/>
      <c r="O91" s="10"/>
      <c r="P91" s="8"/>
    </row>
    <row r="92" spans="4:16" x14ac:dyDescent="0.25">
      <c r="D92" s="7"/>
      <c r="E92" s="8"/>
      <c r="F92" s="7"/>
      <c r="G92" s="26"/>
      <c r="H92" s="10"/>
      <c r="I92" s="10"/>
      <c r="J92" s="10"/>
      <c r="K92" s="10"/>
      <c r="L92" s="10"/>
      <c r="M92" s="10"/>
      <c r="N92" s="10"/>
      <c r="O92" s="10"/>
      <c r="P92" s="8"/>
    </row>
    <row r="93" spans="4:16" x14ac:dyDescent="0.25">
      <c r="D93" s="7"/>
      <c r="E93" s="8"/>
      <c r="F93" s="7"/>
      <c r="G93" s="26"/>
      <c r="H93" s="10"/>
      <c r="I93" s="10"/>
      <c r="J93" s="10"/>
      <c r="K93" s="10"/>
      <c r="L93" s="10"/>
      <c r="M93" s="10"/>
      <c r="N93" s="10"/>
      <c r="O93" s="10"/>
      <c r="P93" s="8"/>
    </row>
    <row r="94" spans="4:16" x14ac:dyDescent="0.25">
      <c r="D94" s="7"/>
      <c r="E94" s="8"/>
      <c r="F94" s="7"/>
      <c r="G94" s="26"/>
      <c r="H94" s="10"/>
      <c r="I94" s="10"/>
      <c r="J94" s="10"/>
      <c r="K94" s="10"/>
      <c r="L94" s="10"/>
      <c r="M94" s="10"/>
      <c r="N94" s="10"/>
      <c r="O94" s="10"/>
      <c r="P94" s="8"/>
    </row>
    <row r="95" spans="4:16" x14ac:dyDescent="0.25">
      <c r="D95" s="7"/>
      <c r="E95" s="8"/>
      <c r="F95" s="7"/>
      <c r="G95" s="26"/>
      <c r="H95" s="10"/>
      <c r="I95" s="10"/>
      <c r="J95" s="10"/>
      <c r="K95" s="10"/>
      <c r="L95" s="10"/>
      <c r="M95" s="10"/>
      <c r="N95" s="10"/>
      <c r="O95" s="10"/>
      <c r="P95" s="8"/>
    </row>
    <row r="96" spans="4:16" x14ac:dyDescent="0.25">
      <c r="D96" s="7"/>
      <c r="E96" s="8"/>
      <c r="F96" s="7"/>
      <c r="G96" s="26"/>
      <c r="H96" s="10"/>
      <c r="I96" s="10"/>
      <c r="J96" s="10"/>
      <c r="K96" s="10"/>
      <c r="L96" s="10"/>
      <c r="M96" s="10"/>
      <c r="N96" s="10"/>
      <c r="O96" s="10"/>
      <c r="P96" s="8"/>
    </row>
    <row r="97" spans="4:16" x14ac:dyDescent="0.25">
      <c r="D97" s="7"/>
      <c r="E97" s="8"/>
      <c r="F97" s="7"/>
      <c r="G97" s="26"/>
      <c r="H97" s="10"/>
      <c r="I97" s="10"/>
      <c r="J97" s="10"/>
      <c r="K97" s="10"/>
      <c r="L97" s="10"/>
      <c r="M97" s="10"/>
      <c r="N97" s="10"/>
      <c r="O97" s="10"/>
      <c r="P97" s="8"/>
    </row>
    <row r="98" spans="4:16" x14ac:dyDescent="0.25">
      <c r="D98" s="7"/>
      <c r="E98" s="8"/>
      <c r="F98" s="7"/>
      <c r="G98" s="26"/>
      <c r="H98" s="10"/>
      <c r="I98" s="10"/>
      <c r="J98" s="10"/>
      <c r="K98" s="10"/>
      <c r="L98" s="10"/>
      <c r="M98" s="10"/>
      <c r="N98" s="10"/>
      <c r="O98" s="10"/>
      <c r="P98" s="8"/>
    </row>
    <row r="99" spans="4:16" x14ac:dyDescent="0.25">
      <c r="D99" s="7"/>
      <c r="E99" s="8"/>
      <c r="F99" s="7"/>
      <c r="G99" s="26"/>
      <c r="H99" s="10"/>
      <c r="I99" s="10"/>
      <c r="J99" s="10"/>
      <c r="K99" s="10"/>
      <c r="L99" s="10"/>
      <c r="M99" s="10"/>
      <c r="N99" s="10"/>
      <c r="O99" s="10"/>
      <c r="P99" s="8"/>
    </row>
    <row r="100" spans="4:16" x14ac:dyDescent="0.25">
      <c r="D100" s="7"/>
      <c r="E100" s="8"/>
      <c r="F100" s="7"/>
      <c r="G100" s="26"/>
      <c r="H100" s="10"/>
      <c r="I100" s="10"/>
      <c r="J100" s="10"/>
      <c r="K100" s="10"/>
      <c r="L100" s="10"/>
      <c r="M100" s="10"/>
      <c r="N100" s="10"/>
      <c r="O100" s="10"/>
      <c r="P100" s="8"/>
    </row>
    <row r="101" spans="4:16" ht="15.75" thickBot="1" x14ac:dyDescent="0.3">
      <c r="D101" s="7"/>
      <c r="E101" s="8"/>
      <c r="F101" s="7"/>
      <c r="G101" s="20"/>
      <c r="H101" s="11"/>
      <c r="I101" s="11"/>
      <c r="J101" s="11"/>
      <c r="K101" s="11"/>
      <c r="L101" s="11"/>
      <c r="M101" s="11"/>
      <c r="N101" s="11"/>
      <c r="O101" s="11"/>
      <c r="P101" s="5"/>
    </row>
    <row r="102" spans="4:16" x14ac:dyDescent="0.25">
      <c r="D102" s="7"/>
      <c r="E102" s="8"/>
      <c r="F102" s="7"/>
      <c r="G102" s="27"/>
      <c r="H102" s="3"/>
      <c r="I102" s="3"/>
      <c r="J102" s="3"/>
      <c r="K102" s="3"/>
      <c r="L102" s="3"/>
      <c r="M102" s="3"/>
      <c r="N102" s="3"/>
      <c r="O102" s="3"/>
      <c r="P102" s="3"/>
    </row>
    <row r="103" spans="4:16" x14ac:dyDescent="0.25">
      <c r="D103" s="7"/>
      <c r="E103" s="8"/>
      <c r="F103" s="7"/>
      <c r="G103" s="27"/>
      <c r="H103" s="3"/>
      <c r="I103" s="3"/>
      <c r="J103" s="3"/>
      <c r="K103" s="3"/>
      <c r="L103" s="3"/>
      <c r="M103" s="3"/>
      <c r="N103" s="3"/>
      <c r="O103" s="3"/>
      <c r="P103" s="3"/>
    </row>
    <row r="104" spans="4:16" x14ac:dyDescent="0.25">
      <c r="D104" s="7"/>
      <c r="E104" s="8"/>
      <c r="F104" s="7"/>
      <c r="G104" s="27"/>
      <c r="H104" s="3"/>
      <c r="I104" s="3"/>
      <c r="J104" s="3"/>
      <c r="K104" s="3"/>
      <c r="L104" s="3"/>
      <c r="M104" s="3"/>
      <c r="N104" s="3"/>
      <c r="O104" s="3"/>
      <c r="P104" s="3"/>
    </row>
    <row r="105" spans="4:16" x14ac:dyDescent="0.25">
      <c r="D105" s="7"/>
      <c r="E105" s="8"/>
      <c r="F105" s="7"/>
      <c r="G105" s="27"/>
      <c r="H105" s="3"/>
      <c r="I105" s="3"/>
      <c r="J105" s="3"/>
      <c r="K105" s="3"/>
      <c r="L105" s="3"/>
      <c r="M105" s="3"/>
      <c r="N105" s="3"/>
      <c r="O105" s="3"/>
      <c r="P105" s="3"/>
    </row>
    <row r="106" spans="4:16" x14ac:dyDescent="0.25">
      <c r="D106" s="7"/>
      <c r="E106" s="8"/>
      <c r="F106" s="7"/>
      <c r="G106" s="27"/>
      <c r="H106" s="3"/>
      <c r="I106" s="3"/>
      <c r="J106" s="3"/>
      <c r="K106" s="3"/>
      <c r="L106" s="3"/>
      <c r="M106" s="3"/>
      <c r="N106" s="3"/>
      <c r="O106" s="3"/>
      <c r="P106" s="3"/>
    </row>
    <row r="107" spans="4:16" x14ac:dyDescent="0.25">
      <c r="D107" s="7"/>
      <c r="E107" s="8"/>
      <c r="F107" s="7"/>
      <c r="G107" s="27"/>
      <c r="H107" s="3"/>
      <c r="I107" s="3"/>
      <c r="J107" s="3"/>
      <c r="K107" s="3"/>
      <c r="L107" s="3"/>
      <c r="M107" s="3"/>
      <c r="N107" s="3"/>
      <c r="O107" s="3"/>
      <c r="P107" s="3"/>
    </row>
    <row r="108" spans="4:16" x14ac:dyDescent="0.25">
      <c r="D108" s="7"/>
      <c r="E108" s="8"/>
      <c r="F108" s="7"/>
      <c r="G108" s="27"/>
      <c r="H108" s="3"/>
      <c r="I108" s="3"/>
      <c r="J108" s="3"/>
      <c r="K108" s="3"/>
      <c r="L108" s="3"/>
      <c r="M108" s="3"/>
      <c r="N108" s="3"/>
      <c r="O108" s="3"/>
      <c r="P108" s="3"/>
    </row>
    <row r="109" spans="4:16" x14ac:dyDescent="0.25">
      <c r="D109" s="7"/>
      <c r="E109" s="8"/>
      <c r="F109" s="7"/>
      <c r="G109" s="27"/>
      <c r="H109" s="3"/>
      <c r="I109" s="3"/>
      <c r="J109" s="3"/>
      <c r="K109" s="3"/>
      <c r="L109" s="3"/>
      <c r="M109" s="3"/>
      <c r="N109" s="3"/>
      <c r="O109" s="3"/>
      <c r="P109" s="3"/>
    </row>
    <row r="110" spans="4:16" x14ac:dyDescent="0.25">
      <c r="D110" s="7"/>
      <c r="E110" s="8"/>
      <c r="F110" s="7"/>
      <c r="G110" s="27"/>
      <c r="H110" s="3"/>
      <c r="I110" s="3"/>
      <c r="J110" s="3"/>
      <c r="K110" s="3"/>
      <c r="L110" s="3"/>
      <c r="M110" s="3"/>
      <c r="N110" s="3"/>
      <c r="O110" s="3"/>
      <c r="P110" s="3"/>
    </row>
    <row r="111" spans="4:16" x14ac:dyDescent="0.25">
      <c r="D111" s="7"/>
      <c r="E111" s="8"/>
      <c r="F111" s="7"/>
      <c r="G111" s="27"/>
      <c r="H111" s="3"/>
      <c r="I111" s="3"/>
      <c r="J111" s="3"/>
      <c r="K111" s="3"/>
      <c r="L111" s="3"/>
      <c r="M111" s="3"/>
      <c r="N111" s="3"/>
      <c r="O111" s="3"/>
      <c r="P111" s="3"/>
    </row>
    <row r="112" spans="4:16" x14ac:dyDescent="0.25">
      <c r="D112" s="7"/>
      <c r="E112" s="8"/>
      <c r="F112" s="7"/>
      <c r="G112" s="27"/>
      <c r="H112" s="3"/>
      <c r="I112" s="3"/>
      <c r="J112" s="3"/>
      <c r="K112" s="3"/>
      <c r="L112" s="3"/>
      <c r="M112" s="3"/>
      <c r="N112" s="3"/>
      <c r="O112" s="3"/>
      <c r="P112" s="3"/>
    </row>
    <row r="113" spans="4:16" x14ac:dyDescent="0.25">
      <c r="D113" s="7"/>
      <c r="E113" s="8"/>
      <c r="F113" s="7"/>
      <c r="G113" s="27"/>
      <c r="H113" s="3"/>
      <c r="I113" s="3"/>
      <c r="J113" s="3"/>
      <c r="K113" s="3"/>
      <c r="L113" s="3"/>
      <c r="M113" s="3"/>
      <c r="N113" s="3"/>
      <c r="O113" s="3"/>
      <c r="P113" s="3"/>
    </row>
    <row r="114" spans="4:16" x14ac:dyDescent="0.25">
      <c r="D114" s="7"/>
      <c r="E114" s="8"/>
      <c r="F114" s="7"/>
      <c r="G114" s="27"/>
      <c r="H114" s="3"/>
      <c r="I114" s="3"/>
      <c r="J114" s="3"/>
      <c r="K114" s="3"/>
      <c r="L114" s="3"/>
      <c r="M114" s="3"/>
      <c r="N114" s="3"/>
      <c r="O114" s="3"/>
      <c r="P114" s="3"/>
    </row>
    <row r="115" spans="4:16" x14ac:dyDescent="0.25">
      <c r="D115" s="7"/>
      <c r="E115" s="8"/>
      <c r="F115" s="7"/>
      <c r="G115" s="27"/>
      <c r="H115" s="3"/>
      <c r="I115" s="3"/>
      <c r="J115" s="3"/>
      <c r="K115" s="3"/>
      <c r="L115" s="3"/>
      <c r="M115" s="3"/>
      <c r="N115" s="3"/>
      <c r="O115" s="3"/>
      <c r="P115" s="3"/>
    </row>
    <row r="116" spans="4:16" x14ac:dyDescent="0.25">
      <c r="D116" s="7"/>
      <c r="E116" s="8"/>
      <c r="F116" s="7"/>
      <c r="G116" s="27"/>
      <c r="H116" s="3"/>
      <c r="I116" s="3"/>
      <c r="J116" s="3"/>
      <c r="K116" s="3"/>
      <c r="L116" s="3"/>
      <c r="M116" s="3"/>
      <c r="N116" s="3"/>
      <c r="O116" s="3"/>
      <c r="P116" s="3"/>
    </row>
    <row r="117" spans="4:16" x14ac:dyDescent="0.25">
      <c r="D117" s="7"/>
      <c r="E117" s="8"/>
      <c r="F117" s="7"/>
      <c r="G117" s="27"/>
      <c r="H117" s="3"/>
      <c r="I117" s="3"/>
      <c r="J117" s="3"/>
      <c r="K117" s="3"/>
      <c r="L117" s="3"/>
      <c r="M117" s="3"/>
      <c r="N117" s="3"/>
      <c r="O117" s="3"/>
      <c r="P117" s="3"/>
    </row>
    <row r="118" spans="4:16" x14ac:dyDescent="0.25">
      <c r="D118" s="7"/>
      <c r="E118" s="8"/>
      <c r="F118" s="7"/>
      <c r="G118" s="27"/>
      <c r="H118" s="3"/>
      <c r="I118" s="3"/>
      <c r="J118" s="3"/>
      <c r="K118" s="3"/>
      <c r="L118" s="3"/>
      <c r="M118" s="3"/>
      <c r="N118" s="3"/>
      <c r="O118" s="3"/>
      <c r="P118" s="3"/>
    </row>
    <row r="119" spans="4:16" x14ac:dyDescent="0.25">
      <c r="D119" s="7"/>
      <c r="E119" s="8"/>
      <c r="F119" s="7"/>
      <c r="G119" s="27"/>
      <c r="H119" s="3"/>
      <c r="I119" s="3"/>
      <c r="J119" s="3"/>
      <c r="K119" s="3"/>
      <c r="L119" s="3"/>
      <c r="M119" s="3"/>
      <c r="N119" s="3"/>
      <c r="O119" s="3"/>
      <c r="P119" s="3"/>
    </row>
    <row r="120" spans="4:16" x14ac:dyDescent="0.25">
      <c r="D120" s="7"/>
      <c r="E120" s="8"/>
      <c r="F120" s="7"/>
      <c r="G120" s="27"/>
      <c r="H120" s="3"/>
      <c r="I120" s="3"/>
      <c r="J120" s="3"/>
      <c r="K120" s="3"/>
      <c r="L120" s="3"/>
      <c r="M120" s="3"/>
      <c r="N120" s="3"/>
      <c r="O120" s="3"/>
      <c r="P120" s="3"/>
    </row>
    <row r="121" spans="4:16" x14ac:dyDescent="0.25">
      <c r="D121" s="7"/>
      <c r="E121" s="8"/>
      <c r="F121" s="7"/>
      <c r="G121" s="27"/>
      <c r="H121" s="3"/>
      <c r="I121" s="3"/>
      <c r="J121" s="3"/>
      <c r="K121" s="3"/>
      <c r="L121" s="3"/>
      <c r="M121" s="3"/>
      <c r="N121" s="3"/>
      <c r="O121" s="3"/>
      <c r="P121" s="3"/>
    </row>
    <row r="122" spans="4:16" x14ac:dyDescent="0.25">
      <c r="D122" s="7"/>
      <c r="E122" s="8"/>
      <c r="F122" s="7"/>
      <c r="G122" s="27"/>
      <c r="H122" s="3"/>
      <c r="I122" s="3"/>
      <c r="J122" s="3"/>
      <c r="K122" s="3"/>
      <c r="L122" s="3"/>
      <c r="M122" s="3"/>
      <c r="N122" s="3"/>
      <c r="O122" s="3"/>
      <c r="P122" s="3"/>
    </row>
    <row r="123" spans="4:16" x14ac:dyDescent="0.25">
      <c r="D123" s="7"/>
      <c r="E123" s="8"/>
      <c r="F123" s="7"/>
      <c r="G123" s="27"/>
      <c r="H123" s="3"/>
      <c r="I123" s="3"/>
      <c r="J123" s="3"/>
      <c r="K123" s="3"/>
      <c r="L123" s="3"/>
      <c r="M123" s="3"/>
      <c r="N123" s="3"/>
      <c r="O123" s="3"/>
      <c r="P123" s="3"/>
    </row>
    <row r="124" spans="4:16" x14ac:dyDescent="0.25">
      <c r="D124" s="7"/>
      <c r="E124" s="8"/>
      <c r="F124" s="7"/>
      <c r="G124" s="27"/>
      <c r="H124" s="3"/>
      <c r="I124" s="3"/>
      <c r="J124" s="3"/>
      <c r="K124" s="3"/>
      <c r="L124" s="3"/>
      <c r="M124" s="3"/>
      <c r="N124" s="3"/>
      <c r="O124" s="3"/>
      <c r="P124" s="3"/>
    </row>
    <row r="125" spans="4:16" x14ac:dyDescent="0.25">
      <c r="D125" s="7"/>
      <c r="E125" s="8"/>
      <c r="F125" s="7"/>
      <c r="G125" s="27"/>
      <c r="H125" s="3"/>
      <c r="I125" s="3"/>
      <c r="J125" s="3"/>
      <c r="K125" s="3"/>
      <c r="L125" s="3"/>
      <c r="M125" s="3"/>
      <c r="N125" s="3"/>
      <c r="O125" s="3"/>
      <c r="P125" s="3"/>
    </row>
    <row r="126" spans="4:16" x14ac:dyDescent="0.25">
      <c r="D126" s="7"/>
      <c r="E126" s="8"/>
      <c r="F126" s="7"/>
      <c r="G126" s="27"/>
      <c r="H126" s="3"/>
      <c r="I126" s="3"/>
      <c r="J126" s="3"/>
      <c r="K126" s="3"/>
      <c r="L126" s="3"/>
      <c r="M126" s="3"/>
      <c r="N126" s="3"/>
      <c r="O126" s="3"/>
      <c r="P126" s="3"/>
    </row>
    <row r="127" spans="4:16" x14ac:dyDescent="0.25">
      <c r="D127" s="7"/>
      <c r="E127" s="8"/>
      <c r="F127" s="7"/>
      <c r="G127" s="27"/>
      <c r="H127" s="3"/>
      <c r="I127" s="3"/>
      <c r="J127" s="3"/>
      <c r="K127" s="3"/>
      <c r="L127" s="3"/>
      <c r="M127" s="3"/>
      <c r="N127" s="3"/>
      <c r="O127" s="3"/>
      <c r="P127" s="3"/>
    </row>
    <row r="128" spans="4:16" x14ac:dyDescent="0.25">
      <c r="D128" s="7"/>
      <c r="E128" s="8"/>
      <c r="F128" s="7"/>
      <c r="G128" s="27"/>
      <c r="H128" s="3"/>
      <c r="I128" s="3"/>
      <c r="J128" s="3"/>
      <c r="K128" s="3"/>
      <c r="L128" s="3"/>
      <c r="M128" s="3"/>
      <c r="N128" s="3"/>
      <c r="O128" s="3"/>
      <c r="P128" s="3"/>
    </row>
    <row r="129" spans="4:16" x14ac:dyDescent="0.25">
      <c r="D129" s="7"/>
      <c r="E129" s="8"/>
      <c r="F129" s="7"/>
      <c r="G129" s="27"/>
      <c r="H129" s="3"/>
      <c r="I129" s="3"/>
      <c r="J129" s="3"/>
      <c r="K129" s="3"/>
      <c r="L129" s="3"/>
      <c r="M129" s="3"/>
      <c r="N129" s="3"/>
      <c r="O129" s="3"/>
      <c r="P129" s="3"/>
    </row>
    <row r="130" spans="4:16" x14ac:dyDescent="0.25">
      <c r="D130" s="7"/>
      <c r="E130" s="8"/>
      <c r="F130" s="7"/>
      <c r="G130" s="27"/>
      <c r="H130" s="3"/>
      <c r="I130" s="3"/>
      <c r="J130" s="3"/>
      <c r="K130" s="3"/>
      <c r="L130" s="3"/>
      <c r="M130" s="3"/>
      <c r="N130" s="3"/>
      <c r="O130" s="3"/>
      <c r="P130" s="3"/>
    </row>
    <row r="131" spans="4:16" x14ac:dyDescent="0.25">
      <c r="D131" s="7"/>
      <c r="E131" s="8"/>
      <c r="F131" s="7"/>
      <c r="G131" s="27"/>
      <c r="H131" s="3"/>
      <c r="I131" s="3"/>
      <c r="J131" s="3"/>
      <c r="K131" s="3"/>
      <c r="L131" s="3"/>
      <c r="M131" s="3"/>
      <c r="N131" s="3"/>
      <c r="O131" s="3"/>
      <c r="P131" s="3"/>
    </row>
    <row r="132" spans="4:16" x14ac:dyDescent="0.25">
      <c r="D132" s="7"/>
      <c r="E132" s="8"/>
      <c r="F132" s="7"/>
      <c r="G132" s="27"/>
      <c r="H132" s="3"/>
      <c r="I132" s="3"/>
      <c r="J132" s="3"/>
      <c r="K132" s="3"/>
      <c r="L132" s="3"/>
      <c r="M132" s="3"/>
      <c r="N132" s="3"/>
      <c r="O132" s="3"/>
      <c r="P132" s="3"/>
    </row>
    <row r="133" spans="4:16" x14ac:dyDescent="0.25">
      <c r="D133" s="7"/>
      <c r="E133" s="8"/>
      <c r="F133" s="7"/>
      <c r="G133" s="27"/>
      <c r="H133" s="3"/>
      <c r="I133" s="3"/>
      <c r="J133" s="3"/>
      <c r="K133" s="3"/>
      <c r="L133" s="3"/>
      <c r="M133" s="3"/>
      <c r="N133" s="3"/>
      <c r="O133" s="3"/>
      <c r="P133" s="3"/>
    </row>
    <row r="134" spans="4:16" x14ac:dyDescent="0.25">
      <c r="D134" s="7"/>
      <c r="E134" s="8"/>
      <c r="F134" s="7"/>
      <c r="G134" s="27"/>
      <c r="H134" s="3"/>
      <c r="I134" s="3"/>
      <c r="J134" s="3"/>
      <c r="K134" s="3"/>
      <c r="L134" s="3"/>
      <c r="M134" s="3"/>
      <c r="N134" s="3"/>
      <c r="O134" s="3"/>
      <c r="P134" s="3"/>
    </row>
    <row r="135" spans="4:16" x14ac:dyDescent="0.25">
      <c r="D135" s="7"/>
      <c r="E135" s="8"/>
      <c r="F135" s="7"/>
      <c r="G135" s="27"/>
      <c r="H135" s="3"/>
      <c r="I135" s="3"/>
      <c r="J135" s="3"/>
      <c r="K135" s="3"/>
      <c r="L135" s="3"/>
      <c r="M135" s="3"/>
      <c r="N135" s="3"/>
      <c r="O135" s="3"/>
      <c r="P135" s="3"/>
    </row>
    <row r="136" spans="4:16" x14ac:dyDescent="0.25">
      <c r="D136" s="7"/>
      <c r="E136" s="8"/>
      <c r="F136" s="7"/>
      <c r="G136" s="27"/>
      <c r="H136" s="3"/>
      <c r="I136" s="3"/>
      <c r="J136" s="3"/>
      <c r="K136" s="3"/>
      <c r="L136" s="3"/>
      <c r="M136" s="3"/>
      <c r="N136" s="3"/>
      <c r="O136" s="3"/>
      <c r="P136" s="3"/>
    </row>
    <row r="137" spans="4:16" x14ac:dyDescent="0.25">
      <c r="D137" s="7"/>
      <c r="E137" s="8"/>
      <c r="F137" s="7"/>
      <c r="G137" s="27"/>
      <c r="H137" s="3"/>
      <c r="I137" s="3"/>
      <c r="J137" s="3"/>
      <c r="K137" s="3"/>
      <c r="L137" s="3"/>
      <c r="M137" s="3"/>
      <c r="N137" s="3"/>
      <c r="O137" s="3"/>
      <c r="P137" s="3"/>
    </row>
    <row r="138" spans="4:16" x14ac:dyDescent="0.25">
      <c r="D138" s="7"/>
      <c r="E138" s="8"/>
      <c r="F138" s="7"/>
      <c r="G138" s="27"/>
      <c r="H138" s="3"/>
      <c r="I138" s="3"/>
      <c r="J138" s="3"/>
      <c r="K138" s="3"/>
      <c r="L138" s="3"/>
      <c r="M138" s="3"/>
      <c r="N138" s="3"/>
      <c r="O138" s="3"/>
      <c r="P138" s="3"/>
    </row>
    <row r="139" spans="4:16" x14ac:dyDescent="0.25">
      <c r="D139" s="7"/>
      <c r="E139" s="8"/>
      <c r="F139" s="7"/>
      <c r="G139" s="27"/>
      <c r="H139" s="3"/>
      <c r="I139" s="3"/>
      <c r="J139" s="3"/>
      <c r="K139" s="3"/>
      <c r="L139" s="3"/>
      <c r="M139" s="3"/>
      <c r="N139" s="3"/>
      <c r="O139" s="3"/>
      <c r="P139" s="3"/>
    </row>
    <row r="140" spans="4:16" x14ac:dyDescent="0.25">
      <c r="D140" s="7"/>
      <c r="E140" s="8"/>
      <c r="F140" s="7"/>
      <c r="G140" s="27"/>
      <c r="H140" s="3"/>
      <c r="I140" s="3"/>
      <c r="J140" s="3"/>
      <c r="K140" s="3"/>
      <c r="L140" s="3"/>
      <c r="M140" s="3"/>
      <c r="N140" s="3"/>
      <c r="O140" s="3"/>
      <c r="P140" s="3"/>
    </row>
    <row r="141" spans="4:16" x14ac:dyDescent="0.25">
      <c r="D141" s="7"/>
      <c r="E141" s="8"/>
      <c r="F141" s="7"/>
      <c r="G141" s="27"/>
      <c r="H141" s="3"/>
      <c r="I141" s="3"/>
      <c r="J141" s="3"/>
      <c r="K141" s="3"/>
      <c r="L141" s="3"/>
      <c r="M141" s="3"/>
      <c r="N141" s="3"/>
      <c r="O141" s="3"/>
      <c r="P141" s="3"/>
    </row>
    <row r="142" spans="4:16" x14ac:dyDescent="0.25">
      <c r="D142" s="7"/>
      <c r="E142" s="8"/>
      <c r="F142" s="7"/>
      <c r="G142" s="27"/>
      <c r="H142" s="3"/>
      <c r="I142" s="3"/>
      <c r="J142" s="3"/>
      <c r="K142" s="3"/>
      <c r="L142" s="3"/>
      <c r="M142" s="3"/>
      <c r="N142" s="3"/>
      <c r="O142" s="3"/>
      <c r="P142" s="3"/>
    </row>
    <row r="143" spans="4:16" x14ac:dyDescent="0.25">
      <c r="D143" s="7"/>
      <c r="E143" s="8"/>
      <c r="F143" s="7"/>
      <c r="G143" s="27"/>
      <c r="H143" s="3"/>
      <c r="I143" s="3"/>
      <c r="J143" s="3"/>
      <c r="K143" s="3"/>
      <c r="L143" s="3"/>
      <c r="M143" s="3"/>
      <c r="N143" s="3"/>
      <c r="O143" s="3"/>
      <c r="P143" s="3"/>
    </row>
    <row r="144" spans="4:16" x14ac:dyDescent="0.25">
      <c r="D144" s="7"/>
      <c r="E144" s="8"/>
      <c r="F144" s="7"/>
      <c r="G144" s="27"/>
      <c r="H144" s="3"/>
      <c r="I144" s="3"/>
      <c r="J144" s="3"/>
      <c r="K144" s="3"/>
      <c r="L144" s="3"/>
      <c r="M144" s="3"/>
      <c r="N144" s="3"/>
      <c r="O144" s="3"/>
      <c r="P144" s="3"/>
    </row>
    <row r="145" spans="4:16" x14ac:dyDescent="0.25">
      <c r="D145" s="7"/>
      <c r="E145" s="8"/>
      <c r="F145" s="7"/>
      <c r="G145" s="27"/>
      <c r="H145" s="3"/>
      <c r="I145" s="3"/>
      <c r="J145" s="3"/>
      <c r="K145" s="3"/>
      <c r="L145" s="3"/>
      <c r="M145" s="3"/>
      <c r="N145" s="3"/>
      <c r="O145" s="3"/>
      <c r="P145" s="3"/>
    </row>
    <row r="146" spans="4:16" x14ac:dyDescent="0.25">
      <c r="D146" s="7"/>
      <c r="E146" s="8"/>
      <c r="F146" s="7"/>
      <c r="G146" s="27"/>
      <c r="H146" s="3"/>
      <c r="I146" s="3"/>
      <c r="J146" s="3"/>
      <c r="K146" s="3"/>
      <c r="L146" s="3"/>
      <c r="M146" s="3"/>
      <c r="N146" s="3"/>
      <c r="O146" s="3"/>
      <c r="P146" s="3"/>
    </row>
    <row r="147" spans="4:16" x14ac:dyDescent="0.25">
      <c r="D147" s="7"/>
      <c r="E147" s="8"/>
      <c r="F147" s="7"/>
      <c r="G147" s="27"/>
      <c r="H147" s="3"/>
      <c r="I147" s="3"/>
      <c r="J147" s="3"/>
      <c r="K147" s="3"/>
      <c r="L147" s="3"/>
      <c r="M147" s="3"/>
      <c r="N147" s="3"/>
      <c r="O147" s="3"/>
      <c r="P147" s="3"/>
    </row>
    <row r="148" spans="4:16" x14ac:dyDescent="0.25">
      <c r="D148" s="7"/>
      <c r="E148" s="8"/>
      <c r="F148" s="7"/>
      <c r="G148" s="27"/>
      <c r="H148" s="3"/>
      <c r="I148" s="3"/>
      <c r="J148" s="3"/>
      <c r="K148" s="3"/>
      <c r="L148" s="3"/>
      <c r="M148" s="3"/>
      <c r="N148" s="3"/>
      <c r="O148" s="3"/>
      <c r="P148" s="3"/>
    </row>
    <row r="149" spans="4:16" x14ac:dyDescent="0.25">
      <c r="D149" s="7"/>
      <c r="E149" s="8"/>
      <c r="F149" s="7"/>
      <c r="G149" s="27"/>
      <c r="H149" s="3"/>
      <c r="I149" s="3"/>
      <c r="J149" s="3"/>
      <c r="K149" s="3"/>
      <c r="L149" s="3"/>
      <c r="M149" s="3"/>
      <c r="N149" s="3"/>
      <c r="O149" s="3"/>
      <c r="P149" s="3"/>
    </row>
    <row r="150" spans="4:16" x14ac:dyDescent="0.25">
      <c r="D150" s="7"/>
      <c r="E150" s="8"/>
      <c r="F150" s="7"/>
      <c r="G150" s="27"/>
      <c r="H150" s="3"/>
      <c r="I150" s="3"/>
      <c r="J150" s="3"/>
      <c r="K150" s="3"/>
      <c r="L150" s="3"/>
      <c r="M150" s="3"/>
      <c r="N150" s="3"/>
      <c r="O150" s="3"/>
      <c r="P150" s="3"/>
    </row>
    <row r="151" spans="4:16" x14ac:dyDescent="0.25">
      <c r="D151" s="7"/>
      <c r="E151" s="8"/>
      <c r="F151" s="7"/>
      <c r="G151" s="27"/>
      <c r="H151" s="3"/>
      <c r="I151" s="3"/>
      <c r="J151" s="3"/>
      <c r="K151" s="3"/>
      <c r="L151" s="3"/>
      <c r="M151" s="3"/>
      <c r="N151" s="3"/>
      <c r="O151" s="3"/>
      <c r="P151" s="3"/>
    </row>
    <row r="152" spans="4:16" x14ac:dyDescent="0.25">
      <c r="D152" s="7"/>
      <c r="E152" s="8"/>
      <c r="F152" s="7"/>
      <c r="G152" s="27"/>
      <c r="H152" s="3"/>
      <c r="I152" s="3"/>
      <c r="J152" s="3"/>
      <c r="K152" s="3"/>
      <c r="L152" s="3"/>
      <c r="M152" s="3"/>
      <c r="N152" s="3"/>
      <c r="O152" s="3"/>
      <c r="P152" s="3"/>
    </row>
    <row r="153" spans="4:16" x14ac:dyDescent="0.25">
      <c r="D153" s="7"/>
      <c r="E153" s="8"/>
      <c r="F153" s="7"/>
      <c r="G153" s="27"/>
      <c r="H153" s="3"/>
      <c r="I153" s="3"/>
      <c r="J153" s="3"/>
      <c r="K153" s="3"/>
      <c r="L153" s="3"/>
      <c r="M153" s="3"/>
      <c r="N153" s="3"/>
      <c r="O153" s="3"/>
      <c r="P153" s="3"/>
    </row>
    <row r="154" spans="4:16" x14ac:dyDescent="0.25">
      <c r="D154" s="7"/>
      <c r="E154" s="8"/>
      <c r="F154" s="7"/>
      <c r="G154" s="27"/>
      <c r="H154" s="3"/>
      <c r="I154" s="3"/>
      <c r="J154" s="3"/>
      <c r="K154" s="3"/>
      <c r="L154" s="3"/>
      <c r="M154" s="3"/>
      <c r="N154" s="3"/>
      <c r="O154" s="3"/>
      <c r="P154" s="3"/>
    </row>
    <row r="155" spans="4:16" x14ac:dyDescent="0.25">
      <c r="D155" s="7"/>
      <c r="E155" s="8"/>
      <c r="F155" s="7"/>
    </row>
    <row r="156" spans="4:16" x14ac:dyDescent="0.25">
      <c r="D156" s="7"/>
      <c r="E156" s="8"/>
      <c r="F156" s="7"/>
    </row>
    <row r="157" spans="4:16" x14ac:dyDescent="0.25">
      <c r="D157" s="7"/>
      <c r="E157" s="8"/>
      <c r="F157" s="7"/>
    </row>
    <row r="158" spans="4:16" x14ac:dyDescent="0.25">
      <c r="D158" s="7"/>
      <c r="E158" s="8"/>
      <c r="F158" s="7"/>
    </row>
    <row r="159" spans="4:16" x14ac:dyDescent="0.25">
      <c r="D159" s="7"/>
      <c r="E159" s="8"/>
      <c r="F159" s="7"/>
    </row>
    <row r="160" spans="4:16" x14ac:dyDescent="0.25">
      <c r="D160" s="7"/>
      <c r="E160" s="8"/>
      <c r="F160" s="7"/>
    </row>
    <row r="161" spans="4:6" x14ac:dyDescent="0.25">
      <c r="D161" s="7"/>
      <c r="E161" s="8"/>
      <c r="F161" s="7"/>
    </row>
    <row r="162" spans="4:6" x14ac:dyDescent="0.25">
      <c r="D162" s="7"/>
      <c r="E162" s="8"/>
      <c r="F162" s="7"/>
    </row>
    <row r="163" spans="4:6" x14ac:dyDescent="0.25">
      <c r="D163" s="7"/>
      <c r="E163" s="8"/>
      <c r="F163" s="7"/>
    </row>
    <row r="164" spans="4:6" x14ac:dyDescent="0.25">
      <c r="D164" s="7"/>
      <c r="E164" s="8"/>
      <c r="F164" s="7"/>
    </row>
    <row r="165" spans="4:6" x14ac:dyDescent="0.25">
      <c r="D165" s="7"/>
      <c r="E165" s="8"/>
      <c r="F165" s="7"/>
    </row>
    <row r="166" spans="4:6" x14ac:dyDescent="0.25">
      <c r="D166" s="7"/>
      <c r="E166" s="8"/>
      <c r="F166" s="7"/>
    </row>
    <row r="167" spans="4:6" x14ac:dyDescent="0.25">
      <c r="D167" s="7"/>
      <c r="E167" s="8"/>
      <c r="F167" s="7"/>
    </row>
    <row r="168" spans="4:6" x14ac:dyDescent="0.25">
      <c r="D168" s="7"/>
      <c r="E168" s="8"/>
      <c r="F168" s="7"/>
    </row>
    <row r="169" spans="4:6" x14ac:dyDescent="0.25">
      <c r="D169" s="7"/>
      <c r="E169" s="8"/>
      <c r="F169" s="7"/>
    </row>
    <row r="170" spans="4:6" x14ac:dyDescent="0.25">
      <c r="D170" s="7"/>
      <c r="E170" s="8"/>
      <c r="F170" s="7"/>
    </row>
    <row r="171" spans="4:6" x14ac:dyDescent="0.25">
      <c r="D171" s="7"/>
      <c r="E171" s="8"/>
      <c r="F171" s="7"/>
    </row>
    <row r="172" spans="4:6" x14ac:dyDescent="0.25">
      <c r="D172" s="7"/>
      <c r="E172" s="8"/>
      <c r="F172" s="7"/>
    </row>
    <row r="173" spans="4:6" x14ac:dyDescent="0.25">
      <c r="D173" s="7"/>
      <c r="E173" s="8"/>
      <c r="F173" s="7"/>
    </row>
    <row r="174" spans="4:6" x14ac:dyDescent="0.25">
      <c r="D174" s="7"/>
      <c r="E174" s="8"/>
      <c r="F174" s="7"/>
    </row>
    <row r="175" spans="4:6" x14ac:dyDescent="0.25">
      <c r="D175" s="7"/>
      <c r="E175" s="8"/>
      <c r="F175" s="7"/>
    </row>
    <row r="176" spans="4:6" x14ac:dyDescent="0.25">
      <c r="D176" s="7"/>
      <c r="E176" s="8"/>
      <c r="F176" s="7"/>
    </row>
    <row r="177" spans="4:6" x14ac:dyDescent="0.25">
      <c r="D177" s="7"/>
      <c r="E177" s="8"/>
      <c r="F177" s="7"/>
    </row>
    <row r="178" spans="4:6" x14ac:dyDescent="0.25">
      <c r="D178" s="7"/>
      <c r="E178" s="8"/>
      <c r="F178" s="7"/>
    </row>
    <row r="179" spans="4:6" x14ac:dyDescent="0.25">
      <c r="D179" s="7"/>
      <c r="E179" s="8"/>
      <c r="F179" s="7"/>
    </row>
    <row r="180" spans="4:6" x14ac:dyDescent="0.25">
      <c r="D180" s="7"/>
      <c r="E180" s="8"/>
      <c r="F180" s="7"/>
    </row>
    <row r="181" spans="4:6" x14ac:dyDescent="0.25">
      <c r="D181" s="7"/>
      <c r="E181" s="8"/>
      <c r="F181" s="7"/>
    </row>
    <row r="182" spans="4:6" x14ac:dyDescent="0.25">
      <c r="D182" s="7"/>
      <c r="E182" s="8"/>
      <c r="F182" s="7"/>
    </row>
    <row r="183" spans="4:6" x14ac:dyDescent="0.25">
      <c r="D183" s="7"/>
      <c r="E183" s="8"/>
      <c r="F183" s="7"/>
    </row>
    <row r="184" spans="4:6" x14ac:dyDescent="0.25">
      <c r="D184" s="7"/>
      <c r="E184" s="8"/>
      <c r="F184" s="7"/>
    </row>
    <row r="185" spans="4:6" x14ac:dyDescent="0.25">
      <c r="D185" s="7"/>
      <c r="E185" s="8"/>
      <c r="F185" s="7"/>
    </row>
    <row r="186" spans="4:6" x14ac:dyDescent="0.25">
      <c r="D186" s="7"/>
      <c r="E186" s="8"/>
      <c r="F186" s="7"/>
    </row>
    <row r="187" spans="4:6" x14ac:dyDescent="0.25">
      <c r="D187" s="7"/>
      <c r="E187" s="8"/>
      <c r="F187" s="7"/>
    </row>
    <row r="188" spans="4:6" x14ac:dyDescent="0.25">
      <c r="D188" s="7"/>
      <c r="E188" s="8"/>
      <c r="F188" s="7"/>
    </row>
    <row r="189" spans="4:6" x14ac:dyDescent="0.25">
      <c r="D189" s="7"/>
      <c r="E189" s="8"/>
      <c r="F189" s="7"/>
    </row>
    <row r="190" spans="4:6" x14ac:dyDescent="0.25">
      <c r="D190" s="7"/>
      <c r="E190" s="8"/>
      <c r="F190" s="7"/>
    </row>
    <row r="191" spans="4:6" x14ac:dyDescent="0.25">
      <c r="D191" s="7"/>
      <c r="E191" s="8"/>
      <c r="F191" s="7"/>
    </row>
    <row r="192" spans="4:6" x14ac:dyDescent="0.25">
      <c r="D192" s="7"/>
      <c r="E192" s="8"/>
      <c r="F192" s="7"/>
    </row>
    <row r="193" spans="4:6" x14ac:dyDescent="0.25">
      <c r="D193" s="7"/>
      <c r="E193" s="8"/>
      <c r="F193" s="7"/>
    </row>
    <row r="194" spans="4:6" x14ac:dyDescent="0.25">
      <c r="D194" s="7"/>
      <c r="E194" s="8"/>
      <c r="F194" s="7"/>
    </row>
    <row r="195" spans="4:6" x14ac:dyDescent="0.25">
      <c r="D195" s="7"/>
      <c r="E195" s="8"/>
      <c r="F195" s="7"/>
    </row>
    <row r="196" spans="4:6" x14ac:dyDescent="0.25">
      <c r="D196" s="7"/>
      <c r="E196" s="8"/>
      <c r="F196" s="7"/>
    </row>
    <row r="197" spans="4:6" x14ac:dyDescent="0.25">
      <c r="D197" s="7"/>
      <c r="E197" s="8"/>
      <c r="F197" s="7"/>
    </row>
    <row r="198" spans="4:6" x14ac:dyDescent="0.25">
      <c r="D198" s="7"/>
      <c r="E198" s="8"/>
      <c r="F198" s="7"/>
    </row>
    <row r="199" spans="4:6" x14ac:dyDescent="0.25">
      <c r="D199" s="7"/>
      <c r="E199" s="8"/>
      <c r="F199" s="7"/>
    </row>
    <row r="200" spans="4:6" x14ac:dyDescent="0.25">
      <c r="D200" s="7"/>
      <c r="E200" s="8"/>
      <c r="F200" s="7"/>
    </row>
    <row r="201" spans="4:6" x14ac:dyDescent="0.25">
      <c r="D201" s="7"/>
      <c r="E201" s="8"/>
      <c r="F201" s="7"/>
    </row>
    <row r="202" spans="4:6" x14ac:dyDescent="0.25">
      <c r="D202" s="7"/>
      <c r="E202" s="8"/>
      <c r="F202" s="7"/>
    </row>
    <row r="203" spans="4:6" x14ac:dyDescent="0.25">
      <c r="D203" s="7"/>
      <c r="E203" s="8"/>
      <c r="F203" s="7"/>
    </row>
    <row r="204" spans="4:6" x14ac:dyDescent="0.25">
      <c r="D204" s="7"/>
      <c r="E204" s="8"/>
      <c r="F204" s="7"/>
    </row>
    <row r="205" spans="4:6" x14ac:dyDescent="0.25">
      <c r="D205" s="7"/>
      <c r="E205" s="8"/>
      <c r="F205" s="7"/>
    </row>
    <row r="206" spans="4:6" x14ac:dyDescent="0.25">
      <c r="D206" s="7"/>
      <c r="E206" s="8"/>
      <c r="F206" s="7"/>
    </row>
    <row r="207" spans="4:6" x14ac:dyDescent="0.25">
      <c r="D207" s="7"/>
      <c r="E207" s="8"/>
      <c r="F207" s="7"/>
    </row>
    <row r="208" spans="4:6" x14ac:dyDescent="0.25">
      <c r="D208" s="7"/>
      <c r="E208" s="8"/>
      <c r="F208" s="7"/>
    </row>
    <row r="209" spans="4:6" x14ac:dyDescent="0.25">
      <c r="D209" s="7"/>
      <c r="E209" s="8"/>
      <c r="F209" s="7"/>
    </row>
    <row r="210" spans="4:6" x14ac:dyDescent="0.25">
      <c r="D210" s="7"/>
      <c r="E210" s="8"/>
      <c r="F210" s="7"/>
    </row>
    <row r="211" spans="4:6" x14ac:dyDescent="0.25">
      <c r="D211" s="7"/>
      <c r="E211" s="8"/>
      <c r="F211" s="7"/>
    </row>
    <row r="212" spans="4:6" x14ac:dyDescent="0.25">
      <c r="D212" s="7"/>
      <c r="E212" s="8"/>
      <c r="F212" s="7"/>
    </row>
  </sheetData>
  <mergeCells count="3">
    <mergeCell ref="D1:E1"/>
    <mergeCell ref="D2:E2"/>
    <mergeCell ref="A21:C25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2050" r:id="rId4">
          <objectPr defaultSize="0" autoPict="0" r:id="rId5">
            <anchor moveWithCells="1" sizeWithCells="1">
              <from>
                <xdr:col>0</xdr:col>
                <xdr:colOff>76200</xdr:colOff>
                <xdr:row>30</xdr:row>
                <xdr:rowOff>38100</xdr:rowOff>
              </from>
              <to>
                <xdr:col>1</xdr:col>
                <xdr:colOff>171450</xdr:colOff>
                <xdr:row>33</xdr:row>
                <xdr:rowOff>152400</xdr:rowOff>
              </to>
            </anchor>
          </objectPr>
        </oleObject>
      </mc:Choice>
      <mc:Fallback>
        <oleObject progId="Equation.DSMT4" shapeId="2050" r:id="rId4"/>
      </mc:Fallback>
    </mc:AlternateContent>
    <mc:AlternateContent xmlns:mc="http://schemas.openxmlformats.org/markup-compatibility/2006">
      <mc:Choice Requires="x14">
        <oleObject progId="Equation.DSMT4" shapeId="2052" r:id="rId6">
          <objectPr defaultSize="0" autoPict="0" r:id="rId7">
            <anchor moveWithCells="1" sizeWithCells="1">
              <from>
                <xdr:col>0</xdr:col>
                <xdr:colOff>76200</xdr:colOff>
                <xdr:row>25</xdr:row>
                <xdr:rowOff>76200</xdr:rowOff>
              </from>
              <to>
                <xdr:col>4</xdr:col>
                <xdr:colOff>295275</xdr:colOff>
                <xdr:row>29</xdr:row>
                <xdr:rowOff>114300</xdr:rowOff>
              </to>
            </anchor>
          </objectPr>
        </oleObject>
      </mc:Choice>
      <mc:Fallback>
        <oleObject progId="Equation.DSMT4" shapeId="205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zoomScaleNormal="100" workbookViewId="0">
      <selection activeCell="R21" sqref="R21"/>
    </sheetView>
  </sheetViews>
  <sheetFormatPr defaultRowHeight="15" x14ac:dyDescent="0.25"/>
  <cols>
    <col min="1" max="1" width="39.140625" customWidth="1"/>
    <col min="2" max="2" width="12" bestFit="1" customWidth="1"/>
    <col min="4" max="5" width="9.140625" style="24"/>
    <col min="6" max="6" width="12" bestFit="1" customWidth="1"/>
    <col min="10" max="10" width="12" bestFit="1" customWidth="1"/>
    <col min="11" max="11" width="7" customWidth="1"/>
    <col min="13" max="13" width="12" bestFit="1" customWidth="1"/>
    <col min="14" max="14" width="12.140625" customWidth="1"/>
    <col min="16" max="16" width="12" bestFit="1" customWidth="1"/>
  </cols>
  <sheetData>
    <row r="1" spans="1:18" s="15" customFormat="1" ht="15.75" thickBot="1" x14ac:dyDescent="0.3">
      <c r="A1" s="12" t="s">
        <v>24</v>
      </c>
      <c r="B1" s="39">
        <v>3</v>
      </c>
      <c r="C1" s="23"/>
      <c r="D1" s="82" t="s">
        <v>13</v>
      </c>
      <c r="E1" s="83"/>
      <c r="F1" s="34" t="s">
        <v>0</v>
      </c>
      <c r="G1" s="35" t="s">
        <v>1</v>
      </c>
      <c r="H1" s="36" t="s">
        <v>9</v>
      </c>
      <c r="I1" s="36" t="s">
        <v>8</v>
      </c>
      <c r="J1" s="36" t="s">
        <v>23</v>
      </c>
      <c r="K1" s="36" t="s">
        <v>3</v>
      </c>
      <c r="L1" s="36" t="s">
        <v>27</v>
      </c>
      <c r="M1" s="36" t="s">
        <v>10</v>
      </c>
      <c r="N1" s="37" t="s">
        <v>10</v>
      </c>
      <c r="O1" s="36" t="s">
        <v>11</v>
      </c>
      <c r="P1" s="35" t="s">
        <v>12</v>
      </c>
      <c r="R1" s="33"/>
    </row>
    <row r="2" spans="1:18" x14ac:dyDescent="0.25">
      <c r="A2" s="13" t="s">
        <v>21</v>
      </c>
      <c r="B2" s="8">
        <f>COUNT(F3:F101)</f>
        <v>10</v>
      </c>
      <c r="C2" s="10"/>
      <c r="D2" s="67"/>
      <c r="E2" s="67"/>
      <c r="F2" s="67">
        <f>'Calculation of LOD (simul data)'!F2</f>
        <v>0</v>
      </c>
      <c r="G2" s="68"/>
      <c r="H2" s="24"/>
      <c r="I2" s="10">
        <f t="shared" ref="I2:I11" ca="1" si="0">b*F2+a</f>
        <v>4.5562118291235301</v>
      </c>
      <c r="J2" s="10"/>
      <c r="K2" s="24"/>
      <c r="L2" s="24"/>
      <c r="M2" s="24"/>
      <c r="N2" s="24"/>
      <c r="O2" s="24"/>
      <c r="P2" s="29"/>
      <c r="R2" s="21"/>
    </row>
    <row r="3" spans="1:18" ht="15.75" thickBot="1" x14ac:dyDescent="0.3">
      <c r="A3" s="32" t="s">
        <v>22</v>
      </c>
      <c r="B3" s="40">
        <v>1</v>
      </c>
      <c r="C3" s="10"/>
      <c r="D3" s="65">
        <f ca="1">'Calculation of LOD (simul data)'!D3</f>
        <v>-1.0548469249019203</v>
      </c>
      <c r="E3" s="65">
        <f ca="1">'Calculation of LOD (simul data)'!E3</f>
        <v>-0.48319274760704828</v>
      </c>
      <c r="F3" s="65">
        <f>'Calculation of LOD (simul data)'!F3</f>
        <v>1</v>
      </c>
      <c r="G3" s="65">
        <f ca="1">'Calculation of LOD (simul data)'!G3</f>
        <v>0.81014539512296468</v>
      </c>
      <c r="H3" s="10">
        <f ca="1">(G3-a)/b</f>
        <v>-5.2990699472956067</v>
      </c>
      <c r="I3" s="10">
        <f ca="1">b*F3+a</f>
        <v>5.2631408697398703</v>
      </c>
      <c r="J3" s="10">
        <f ca="1">(G3-I3)^2</f>
        <v>19.829168696958639</v>
      </c>
      <c r="K3" s="10">
        <f t="shared" ref="K3:K11" si="1">F3^2</f>
        <v>1</v>
      </c>
      <c r="L3" s="10">
        <f t="shared" ref="L3:L11" ca="1" si="2">s_y/ABS(b)*SQRT(1/n+1/m+m*(I3-SUM($I$3:$I$102)/m)^2/((m*SUM($K$3:$K$102)-SUM($F$3:$F$102)^2)*b^2))</f>
        <v>8.7876519855872619</v>
      </c>
      <c r="M3" s="10">
        <f t="shared" ref="M3:M11" ca="1" si="3">H3+L3</f>
        <v>3.4885820382916553</v>
      </c>
      <c r="N3" s="10">
        <f t="shared" ref="N3:N11" ca="1" si="4">H3-L3</f>
        <v>-14.086721932882869</v>
      </c>
      <c r="O3" s="10">
        <f ca="1">H3+t*L3</f>
        <v>21.063886009466181</v>
      </c>
      <c r="P3" s="8">
        <f t="shared" ref="P3:P11" ca="1" si="5">H3-t*L3</f>
        <v>-31.662025904057394</v>
      </c>
      <c r="R3" s="38"/>
    </row>
    <row r="4" spans="1:18" x14ac:dyDescent="0.25">
      <c r="A4" s="13" t="s">
        <v>35</v>
      </c>
      <c r="B4" s="8">
        <f ca="1">INTERCEPT(G3:G101,F3:F101)</f>
        <v>4.5562118291235301</v>
      </c>
      <c r="C4" s="10"/>
      <c r="D4" s="65">
        <f ca="1">'Calculation of LOD (simul data)'!D4</f>
        <v>-0.63305663404077606</v>
      </c>
      <c r="E4" s="65">
        <f ca="1">'Calculation of LOD (simul data)'!E4</f>
        <v>1.05474239697334</v>
      </c>
      <c r="F4" s="65">
        <f>'Calculation of LOD (simul data)'!F4</f>
        <v>4</v>
      </c>
      <c r="G4" s="65">
        <f ca="1">'Calculation of LOD (simul data)'!G4</f>
        <v>3.6549759056869102</v>
      </c>
      <c r="H4" s="10">
        <f t="shared" ref="H4:H11" ca="1" si="6">(G4-a)/b</f>
        <v>-1.2748605187458018</v>
      </c>
      <c r="I4" s="10">
        <f t="shared" ca="1" si="0"/>
        <v>7.3839279915888927</v>
      </c>
      <c r="J4" s="10">
        <f t="shared" ref="J4:J11" ca="1" si="7">(G4-I4)^2</f>
        <v>13.905083658952746</v>
      </c>
      <c r="K4" s="10">
        <f t="shared" si="1"/>
        <v>16</v>
      </c>
      <c r="L4" s="10">
        <f t="shared" ca="1" si="2"/>
        <v>8.7141582750089075</v>
      </c>
      <c r="M4" s="10">
        <f t="shared" ca="1" si="3"/>
        <v>7.4392977562631053</v>
      </c>
      <c r="N4" s="10">
        <f t="shared" ca="1" si="4"/>
        <v>-9.9890187937547097</v>
      </c>
      <c r="O4" s="10">
        <f t="shared" ref="O4:O11" ca="1" si="8">H4+t*L4</f>
        <v>24.867614306280924</v>
      </c>
      <c r="P4" s="8">
        <f t="shared" ca="1" si="5"/>
        <v>-27.417335343772525</v>
      </c>
      <c r="R4" s="21"/>
    </row>
    <row r="5" spans="1:18" x14ac:dyDescent="0.25">
      <c r="A5" s="22" t="s">
        <v>36</v>
      </c>
      <c r="B5" s="29">
        <f ca="1">s_b*(SQRT(SUM(K3:K101)/m))</f>
        <v>2.7457363410525089</v>
      </c>
      <c r="C5" s="24"/>
      <c r="D5" s="65">
        <f ca="1">'Calculation of LOD (simul data)'!D5</f>
        <v>-7.7236588110771318E-2</v>
      </c>
      <c r="E5" s="65">
        <f ca="1">'Calculation of LOD (simul data)'!E5</f>
        <v>-0.78688818463209453</v>
      </c>
      <c r="F5" s="65">
        <f>'Calculation of LOD (simul data)'!F5</f>
        <v>9</v>
      </c>
      <c r="G5" s="65">
        <f ca="1">'Calculation of LOD (simul data)'!G5</f>
        <v>8.8514649367596814</v>
      </c>
      <c r="H5" s="10">
        <f t="shared" ca="1" si="6"/>
        <v>6.0759324640154944</v>
      </c>
      <c r="I5" s="10">
        <f t="shared" ca="1" si="0"/>
        <v>10.918573194670595</v>
      </c>
      <c r="J5" s="10">
        <f t="shared" ca="1" si="7"/>
        <v>4.2729365499234904</v>
      </c>
      <c r="K5" s="10">
        <f t="shared" si="1"/>
        <v>81</v>
      </c>
      <c r="L5" s="10">
        <f t="shared" ca="1" si="2"/>
        <v>8.6041248738632827</v>
      </c>
      <c r="M5" s="10">
        <f t="shared" ca="1" si="3"/>
        <v>14.680057337878777</v>
      </c>
      <c r="N5" s="10">
        <f t="shared" ca="1" si="4"/>
        <v>-2.5281924098477884</v>
      </c>
      <c r="O5" s="10">
        <f t="shared" ca="1" si="8"/>
        <v>31.888307085605341</v>
      </c>
      <c r="P5" s="8">
        <f t="shared" ca="1" si="5"/>
        <v>-19.736442157574352</v>
      </c>
      <c r="R5" s="38"/>
    </row>
    <row r="6" spans="1:18" x14ac:dyDescent="0.25">
      <c r="A6" s="13" t="s">
        <v>37</v>
      </c>
      <c r="B6" s="8">
        <f ca="1">SLOPE(G3:G101,F3:F101)</f>
        <v>0.70692904061634054</v>
      </c>
      <c r="C6" s="10"/>
      <c r="D6" s="65">
        <f ca="1">'Calculation of LOD (simul data)'!D6</f>
        <v>-1.1158100640225175</v>
      </c>
      <c r="E6" s="65">
        <f ca="1">'Calculation of LOD (simul data)'!E6</f>
        <v>8.7802636935260858E-2</v>
      </c>
      <c r="F6" s="65">
        <f>'Calculation of LOD (simul data)'!F6</f>
        <v>16</v>
      </c>
      <c r="G6" s="65">
        <f ca="1">'Calculation of LOD (simul data)'!G6</f>
        <v>13.200053571899005</v>
      </c>
      <c r="H6" s="10">
        <f t="shared" ca="1" si="6"/>
        <v>12.227311718923426</v>
      </c>
      <c r="I6" s="10">
        <f t="shared" ca="1" si="0"/>
        <v>15.867076478984979</v>
      </c>
      <c r="J6" s="10">
        <f t="shared" ca="1" si="7"/>
        <v>7.1130111869213177</v>
      </c>
      <c r="K6" s="10">
        <f t="shared" si="1"/>
        <v>256</v>
      </c>
      <c r="L6" s="10">
        <f t="shared" ca="1" si="2"/>
        <v>8.4772257654606182</v>
      </c>
      <c r="M6" s="10">
        <f t="shared" ca="1" si="3"/>
        <v>20.704537484384044</v>
      </c>
      <c r="N6" s="10">
        <f t="shared" ca="1" si="4"/>
        <v>3.7500859534628077</v>
      </c>
      <c r="O6" s="10">
        <f ca="1">H6+t*L6</f>
        <v>37.658989015305281</v>
      </c>
      <c r="P6" s="8">
        <f t="shared" ca="1" si="5"/>
        <v>-13.204365577458431</v>
      </c>
    </row>
    <row r="7" spans="1:18" x14ac:dyDescent="0.25">
      <c r="A7" s="22" t="s">
        <v>38</v>
      </c>
      <c r="B7" s="29">
        <f ca="1">SQRT(m*s_y^2/(m*SUM(K3:K101)-SUM(F3:F101)^2))</f>
        <v>5.4552608315320945E-2</v>
      </c>
      <c r="C7" s="24"/>
      <c r="D7" s="65">
        <f ca="1">'Calculation of LOD (simul data)'!D7</f>
        <v>0.53146162858829382</v>
      </c>
      <c r="E7" s="65">
        <f ca="1">'Calculation of LOD (simul data)'!E7</f>
        <v>-1.8824790314830109</v>
      </c>
      <c r="F7" s="65">
        <f>'Calculation of LOD (simul data)'!F7</f>
        <v>25</v>
      </c>
      <c r="G7" s="65">
        <f ca="1">'Calculation of LOD (simul data)'!G7</f>
        <v>26.992920983473166</v>
      </c>
      <c r="H7" s="10">
        <f t="shared" ca="1" si="6"/>
        <v>31.738276213392012</v>
      </c>
      <c r="I7" s="10">
        <f t="shared" ca="1" si="0"/>
        <v>22.229437844532043</v>
      </c>
      <c r="J7" s="10">
        <f t="shared" ca="1" si="7"/>
        <v>22.69077161497637</v>
      </c>
      <c r="K7" s="10">
        <f t="shared" si="1"/>
        <v>625</v>
      </c>
      <c r="L7" s="10">
        <f t="shared" ca="1" si="2"/>
        <v>8.3626519245843927</v>
      </c>
      <c r="M7" s="10">
        <f t="shared" ca="1" si="3"/>
        <v>40.100928137976403</v>
      </c>
      <c r="N7" s="10">
        <f t="shared" ca="1" si="4"/>
        <v>23.375624288807622</v>
      </c>
      <c r="O7" s="10">
        <f t="shared" ca="1" si="8"/>
        <v>56.826231987145192</v>
      </c>
      <c r="P7" s="8">
        <f t="shared" ca="1" si="5"/>
        <v>6.6503204396388327</v>
      </c>
    </row>
    <row r="8" spans="1:18" x14ac:dyDescent="0.25">
      <c r="A8" s="13" t="s">
        <v>39</v>
      </c>
      <c r="B8" s="8">
        <f ca="1">SQRT(SUM(J3:J101)/(m-2))</f>
        <v>5.592773206677319</v>
      </c>
      <c r="C8" s="10"/>
      <c r="D8" s="65">
        <f ca="1">'Calculation of LOD (simul data)'!D8</f>
        <v>-0.28359850997611485</v>
      </c>
      <c r="E8" s="65">
        <f ca="1">'Calculation of LOD (simul data)'!E8</f>
        <v>-1.4374741465587138</v>
      </c>
      <c r="F8" s="65">
        <f>'Calculation of LOD (simul data)'!F8</f>
        <v>36</v>
      </c>
      <c r="G8" s="65">
        <f ca="1">'Calculation of LOD (simul data)'!G8</f>
        <v>34.324414500754109</v>
      </c>
      <c r="H8" s="10">
        <f t="shared" ca="1" si="6"/>
        <v>42.109180640926823</v>
      </c>
      <c r="I8" s="10">
        <f t="shared" ca="1" si="0"/>
        <v>30.005657291311788</v>
      </c>
      <c r="J8" s="10">
        <f t="shared" ca="1" si="7"/>
        <v>18.651663834110025</v>
      </c>
      <c r="K8" s="10">
        <f t="shared" si="1"/>
        <v>1296</v>
      </c>
      <c r="L8" s="10">
        <f t="shared" ca="1" si="2"/>
        <v>8.2997513778109457</v>
      </c>
      <c r="M8" s="10">
        <f t="shared" ca="1" si="3"/>
        <v>50.408932018737772</v>
      </c>
      <c r="N8" s="10">
        <f t="shared" ca="1" si="4"/>
        <v>33.809429263115874</v>
      </c>
      <c r="O8" s="10">
        <f t="shared" ca="1" si="8"/>
        <v>67.008434774359657</v>
      </c>
      <c r="P8" s="8">
        <f t="shared" ca="1" si="5"/>
        <v>17.209926507493986</v>
      </c>
    </row>
    <row r="9" spans="1:18" x14ac:dyDescent="0.25">
      <c r="A9" s="13" t="s">
        <v>40</v>
      </c>
      <c r="B9" s="8">
        <f>-AVERAGE(F3:F101)/SQRT(SUM(K3:K101)/m)</f>
        <v>-0.76492246860627866</v>
      </c>
      <c r="C9" s="10"/>
      <c r="D9" s="65">
        <f ca="1">'Calculation of LOD (simul data)'!D9</f>
        <v>-0.10062383505439107</v>
      </c>
      <c r="E9" s="65">
        <f ca="1">'Calculation of LOD (simul data)'!E9</f>
        <v>-4.0646988512990208E-2</v>
      </c>
      <c r="F9" s="65">
        <f>'Calculation of LOD (simul data)'!F9</f>
        <v>49</v>
      </c>
      <c r="G9" s="65">
        <f ca="1">'Calculation of LOD (simul data)'!G9</f>
        <v>48.223475853166235</v>
      </c>
      <c r="H9" s="10">
        <f t="shared" ca="1" si="6"/>
        <v>61.770363806204834</v>
      </c>
      <c r="I9" s="10">
        <f t="shared" ca="1" si="0"/>
        <v>39.195734819324215</v>
      </c>
      <c r="J9" s="10">
        <f t="shared" ca="1" si="7"/>
        <v>81.500108174114985</v>
      </c>
      <c r="K9" s="10">
        <f t="shared" si="1"/>
        <v>2401</v>
      </c>
      <c r="L9" s="10">
        <f t="shared" ca="1" si="2"/>
        <v>8.3369772431294624</v>
      </c>
      <c r="M9" s="10">
        <f t="shared" ca="1" si="3"/>
        <v>70.107341049334295</v>
      </c>
      <c r="N9" s="10">
        <f t="shared" ca="1" si="4"/>
        <v>53.433386563075373</v>
      </c>
      <c r="O9" s="10">
        <f t="shared" ca="1" si="8"/>
        <v>86.781295535593216</v>
      </c>
      <c r="P9" s="8">
        <f t="shared" ca="1" si="5"/>
        <v>36.759432076816445</v>
      </c>
    </row>
    <row r="10" spans="1:18" x14ac:dyDescent="0.25">
      <c r="A10" s="22" t="s">
        <v>33</v>
      </c>
      <c r="B10" s="29">
        <f>r_a_b^2</f>
        <v>0.58510638297872342</v>
      </c>
      <c r="C10" s="24"/>
      <c r="D10" s="65">
        <f ca="1">'Calculation of LOD (simul data)'!D10</f>
        <v>-1.0938280595572072</v>
      </c>
      <c r="E10" s="65">
        <f ca="1">'Calculation of LOD (simul data)'!E10</f>
        <v>-0.22553854683813002</v>
      </c>
      <c r="F10" s="65">
        <f>'Calculation of LOD (simul data)'!F10</f>
        <v>64</v>
      </c>
      <c r="G10" s="65">
        <f ca="1">'Calculation of LOD (simul data)'!G10</f>
        <v>52.992364044833131</v>
      </c>
      <c r="H10" s="10">
        <f t="shared" ca="1" si="6"/>
        <v>68.516285840344366</v>
      </c>
      <c r="I10" s="10">
        <f t="shared" ca="1" si="0"/>
        <v>49.799670428569328</v>
      </c>
      <c r="J10" s="10">
        <f t="shared" ca="1" si="7"/>
        <v>10.193292527331639</v>
      </c>
      <c r="K10" s="10">
        <f t="shared" si="1"/>
        <v>4096</v>
      </c>
      <c r="L10" s="10">
        <f t="shared" ca="1" si="2"/>
        <v>8.5276533699009125</v>
      </c>
      <c r="M10" s="10">
        <f t="shared" ca="1" si="3"/>
        <v>77.043939210245284</v>
      </c>
      <c r="N10" s="10">
        <f t="shared" ca="1" si="4"/>
        <v>59.988632470443456</v>
      </c>
      <c r="O10" s="10">
        <f t="shared" ca="1" si="8"/>
        <v>94.099245950047106</v>
      </c>
      <c r="P10" s="8">
        <f t="shared" ca="1" si="5"/>
        <v>42.933325730641627</v>
      </c>
    </row>
    <row r="11" spans="1:18" x14ac:dyDescent="0.25">
      <c r="A11" s="13" t="s">
        <v>41</v>
      </c>
      <c r="B11" s="8">
        <f ca="1">SQRT(s_a^2+s_y^2)</f>
        <v>6.230423757330164</v>
      </c>
      <c r="C11" s="10"/>
      <c r="D11" s="65">
        <f ca="1">'Calculation of LOD (simul data)'!D11</f>
        <v>-1.494563937611342</v>
      </c>
      <c r="E11" s="65">
        <f ca="1">'Calculation of LOD (simul data)'!E11</f>
        <v>-1.2786583711062272</v>
      </c>
      <c r="F11" s="65">
        <f>'Calculation of LOD (simul data)'!F11</f>
        <v>81</v>
      </c>
      <c r="G11" s="65">
        <f ca="1">'Calculation of LOD (simul data)'!G11</f>
        <v>61.920057180228582</v>
      </c>
      <c r="H11" s="10">
        <f t="shared" ca="1" si="6"/>
        <v>81.145124977596083</v>
      </c>
      <c r="I11" s="10">
        <f t="shared" ca="1" si="0"/>
        <v>61.817464119047116</v>
      </c>
      <c r="J11" s="10">
        <f t="shared" ca="1" si="7"/>
        <v>1.0525336202583991E-2</v>
      </c>
      <c r="K11" s="10">
        <f t="shared" si="1"/>
        <v>6561</v>
      </c>
      <c r="L11" s="10">
        <f t="shared" ca="1" si="2"/>
        <v>8.9221530145972885</v>
      </c>
      <c r="M11" s="10">
        <f t="shared" ca="1" si="3"/>
        <v>90.067277992193368</v>
      </c>
      <c r="N11" s="10">
        <f t="shared" ca="1" si="4"/>
        <v>72.222971962998798</v>
      </c>
      <c r="O11" s="10">
        <f t="shared" ca="1" si="8"/>
        <v>107.91158402138795</v>
      </c>
      <c r="P11" s="8">
        <f t="shared" ca="1" si="5"/>
        <v>54.378665933804214</v>
      </c>
    </row>
    <row r="12" spans="1:18" x14ac:dyDescent="0.25">
      <c r="A12" s="13" t="s">
        <v>25</v>
      </c>
      <c r="B12" s="8">
        <f ca="1">1+r_a_b*(s_a/s_0)*t*(s_b/b)</f>
        <v>0.92195957675369899</v>
      </c>
      <c r="C12" s="10"/>
      <c r="D12" s="65">
        <f ca="1">'Calculation of LOD (simul data)'!D12</f>
        <v>-2.1171216101916612</v>
      </c>
      <c r="E12" s="65">
        <f ca="1">'Calculation of LOD (simul data)'!E12</f>
        <v>0.3119008654847345</v>
      </c>
      <c r="F12" s="65">
        <f>'Calculation of LOD (simul data)'!F12</f>
        <v>100</v>
      </c>
      <c r="G12" s="65">
        <f ca="1">'Calculation of LOD (simul data)'!G12</f>
        <v>66.75992655660265</v>
      </c>
      <c r="H12" s="10">
        <f t="shared" ref="H12" ca="1" si="9">(G12-a)/b</f>
        <v>87.991454804638423</v>
      </c>
      <c r="I12" s="10">
        <f t="shared" ref="I12" ca="1" si="10">b*F12+a</f>
        <v>75.249115890757579</v>
      </c>
      <c r="J12" s="10">
        <f t="shared" ref="J12" ca="1" si="11">(G12-I12)^2</f>
        <v>72.066335551129811</v>
      </c>
      <c r="K12" s="10">
        <f t="shared" ref="K12" si="12">F12^2</f>
        <v>10000</v>
      </c>
      <c r="L12" s="10">
        <f t="shared" ref="L12" ca="1" si="13">s_y/ABS(b)*SQRT(1/n+1/m+m*(I12-SUM($I$3:$I$102)/m)^2/((m*SUM($K$3:$K$102)-SUM($F$3:$F$102)^2)*b^2))</f>
        <v>9.5588613430983838</v>
      </c>
      <c r="M12" s="10">
        <f t="shared" ref="M12" ca="1" si="14">H12+L12</f>
        <v>97.550316147736808</v>
      </c>
      <c r="N12" s="10">
        <f t="shared" ref="N12" ca="1" si="15">H12-L12</f>
        <v>78.432593461540037</v>
      </c>
      <c r="O12" s="10">
        <f t="shared" ref="O12" ca="1" si="16">H12+t*L12</f>
        <v>116.66803883393357</v>
      </c>
      <c r="P12" s="8">
        <f t="shared" ref="P12" ca="1" si="17">H12-t*L12</f>
        <v>59.314870775343273</v>
      </c>
    </row>
    <row r="13" spans="1:18" x14ac:dyDescent="0.25">
      <c r="A13" s="22" t="s">
        <v>26</v>
      </c>
      <c r="B13" s="29">
        <f ca="1">1-t^2*(s_b/b)^2</f>
        <v>0.94640529258793615</v>
      </c>
      <c r="C13" s="24"/>
      <c r="D13" s="65"/>
      <c r="E13" s="65"/>
      <c r="F13" s="65"/>
      <c r="G13" s="65"/>
      <c r="H13" s="10"/>
      <c r="I13" s="10"/>
      <c r="J13" s="10"/>
      <c r="K13" s="10"/>
      <c r="L13" s="10"/>
      <c r="M13" s="10"/>
      <c r="N13" s="10"/>
      <c r="O13" s="10"/>
      <c r="P13" s="8"/>
    </row>
    <row r="14" spans="1:18" ht="15.75" thickBot="1" x14ac:dyDescent="0.3">
      <c r="A14" s="22" t="s">
        <v>28</v>
      </c>
      <c r="B14" s="29">
        <f ca="1">RSQ(G3:G101,F3:F101)</f>
        <v>0.95452660098080166</v>
      </c>
      <c r="C14" s="24"/>
      <c r="D14" s="66"/>
      <c r="E14" s="66"/>
      <c r="F14" s="66"/>
      <c r="G14" s="66"/>
      <c r="H14" s="10"/>
      <c r="I14" s="10"/>
      <c r="J14" s="10"/>
      <c r="K14" s="10"/>
      <c r="L14" s="10"/>
      <c r="M14" s="10"/>
      <c r="N14" s="10"/>
      <c r="O14" s="10"/>
      <c r="P14" s="8"/>
    </row>
    <row r="15" spans="1:18" x14ac:dyDescent="0.25">
      <c r="A15" s="41" t="s">
        <v>42</v>
      </c>
      <c r="B15" s="42">
        <f ca="1">2*t*s_0/b*(K/I)</f>
        <v>51.514291712854813</v>
      </c>
      <c r="C15" s="24"/>
      <c r="D15" s="66"/>
      <c r="E15" s="66"/>
      <c r="F15" s="66"/>
      <c r="G15" s="66"/>
      <c r="H15" s="10"/>
      <c r="I15" s="10"/>
      <c r="J15" s="10"/>
      <c r="K15" s="10"/>
      <c r="L15" s="10"/>
      <c r="M15" s="10"/>
      <c r="N15" s="10"/>
      <c r="O15" s="10"/>
      <c r="P15" s="8"/>
    </row>
    <row r="16" spans="1:18" ht="15.75" thickBot="1" x14ac:dyDescent="0.3">
      <c r="A16" s="31" t="s">
        <v>51</v>
      </c>
      <c r="B16" s="30">
        <f ca="1">'Calculation of LOD (simul data)'!B11</f>
        <v>50.170995468394892</v>
      </c>
      <c r="C16" s="24"/>
      <c r="D16" s="66"/>
      <c r="E16" s="66"/>
      <c r="F16" s="66"/>
      <c r="G16" s="66"/>
      <c r="H16" s="10"/>
      <c r="I16" s="10"/>
      <c r="J16" s="10"/>
      <c r="K16" s="10"/>
      <c r="L16" s="10"/>
      <c r="M16" s="10"/>
      <c r="N16" s="10"/>
      <c r="O16" s="10"/>
      <c r="P16" s="8"/>
    </row>
    <row r="17" spans="1:18" x14ac:dyDescent="0.25">
      <c r="A17" s="28">
        <v>0</v>
      </c>
      <c r="B17" s="28">
        <f ca="1">t*s_0+a</f>
        <v>23.247483101114021</v>
      </c>
      <c r="D17" s="66"/>
      <c r="E17" s="66"/>
      <c r="F17" s="66"/>
      <c r="G17" s="66"/>
      <c r="H17" s="10"/>
      <c r="I17" s="10"/>
      <c r="J17" s="10"/>
      <c r="K17" s="10"/>
      <c r="L17" s="10"/>
      <c r="M17" s="10"/>
      <c r="N17" s="10"/>
      <c r="O17" s="10"/>
      <c r="P17" s="8"/>
    </row>
    <row r="18" spans="1:18" x14ac:dyDescent="0.25">
      <c r="A18" s="28">
        <f ca="1">B15</f>
        <v>51.514291712854813</v>
      </c>
      <c r="B18" s="28">
        <f ca="1">B17</f>
        <v>23.247483101114021</v>
      </c>
      <c r="D18" s="66"/>
      <c r="E18" s="66"/>
      <c r="F18" s="66"/>
      <c r="G18" s="66"/>
      <c r="H18" s="10"/>
      <c r="I18" s="10"/>
      <c r="J18" s="10"/>
      <c r="K18" s="10"/>
      <c r="L18" s="10"/>
      <c r="M18" s="10"/>
      <c r="N18" s="10"/>
      <c r="O18" s="10"/>
      <c r="P18" s="8"/>
    </row>
    <row r="19" spans="1:18" x14ac:dyDescent="0.25">
      <c r="A19" s="28">
        <f ca="1">A18</f>
        <v>51.514291712854813</v>
      </c>
      <c r="B19" s="28">
        <v>0</v>
      </c>
      <c r="D19" s="66"/>
      <c r="E19" s="66"/>
      <c r="F19" s="66"/>
      <c r="G19" s="66"/>
      <c r="H19" s="10"/>
      <c r="I19" s="10"/>
      <c r="J19" s="10"/>
      <c r="K19" s="10"/>
      <c r="L19" s="10"/>
      <c r="M19" s="10"/>
      <c r="N19" s="10"/>
      <c r="O19" s="10"/>
      <c r="P19" s="8"/>
    </row>
    <row r="20" spans="1:18" ht="15.75" thickBot="1" x14ac:dyDescent="0.3">
      <c r="D20" s="66"/>
      <c r="E20" s="66"/>
      <c r="F20" s="66"/>
      <c r="G20" s="66"/>
      <c r="H20" s="10"/>
      <c r="I20" s="10"/>
      <c r="J20" s="10"/>
      <c r="K20" s="10"/>
      <c r="L20" s="10"/>
      <c r="M20" s="10"/>
      <c r="N20" s="10"/>
      <c r="O20" s="10"/>
      <c r="P20" s="8"/>
    </row>
    <row r="21" spans="1:18" x14ac:dyDescent="0.25">
      <c r="A21" s="86" t="s">
        <v>50</v>
      </c>
      <c r="B21" s="87"/>
      <c r="C21" s="87"/>
      <c r="D21" s="66"/>
      <c r="E21" s="66"/>
      <c r="F21" s="66"/>
      <c r="G21" s="66"/>
      <c r="H21" s="10"/>
      <c r="I21" s="10"/>
      <c r="J21" s="10"/>
      <c r="K21" s="10"/>
      <c r="L21" s="10"/>
      <c r="M21" s="10"/>
      <c r="N21" s="10"/>
      <c r="O21" s="10"/>
      <c r="P21" s="8"/>
    </row>
    <row r="22" spans="1:18" x14ac:dyDescent="0.25">
      <c r="A22" s="89"/>
      <c r="B22" s="90"/>
      <c r="C22" s="90"/>
      <c r="D22" s="66"/>
      <c r="E22" s="66"/>
      <c r="F22" s="66"/>
      <c r="G22" s="66"/>
      <c r="H22" s="10"/>
      <c r="I22" s="10"/>
      <c r="J22" s="10"/>
      <c r="K22" s="10"/>
      <c r="L22" s="10"/>
      <c r="M22" s="10"/>
      <c r="N22" s="10"/>
      <c r="O22" s="10"/>
      <c r="P22" s="8"/>
    </row>
    <row r="23" spans="1:18" x14ac:dyDescent="0.25">
      <c r="A23" s="89"/>
      <c r="B23" s="90"/>
      <c r="C23" s="90"/>
      <c r="D23" s="66"/>
      <c r="E23" s="66"/>
      <c r="F23" s="66"/>
      <c r="G23" s="66"/>
      <c r="H23" s="10"/>
      <c r="I23" s="10"/>
      <c r="J23" s="10"/>
      <c r="K23" s="10"/>
      <c r="L23" s="10"/>
      <c r="M23" s="10"/>
      <c r="N23" s="10"/>
      <c r="O23" s="10"/>
      <c r="P23" s="8"/>
    </row>
    <row r="24" spans="1:18" x14ac:dyDescent="0.25">
      <c r="A24" s="89"/>
      <c r="B24" s="90"/>
      <c r="C24" s="90"/>
      <c r="D24" s="66"/>
      <c r="E24" s="66"/>
      <c r="F24" s="66"/>
      <c r="G24" s="66"/>
      <c r="H24" s="10"/>
      <c r="I24" s="10"/>
      <c r="J24" s="10"/>
      <c r="K24" s="10"/>
      <c r="L24" s="10"/>
      <c r="M24" s="10"/>
      <c r="N24" s="10"/>
      <c r="O24" s="10"/>
      <c r="P24" s="8"/>
      <c r="R24" s="4"/>
    </row>
    <row r="25" spans="1:18" ht="15.75" thickBot="1" x14ac:dyDescent="0.3">
      <c r="A25" s="92"/>
      <c r="B25" s="93"/>
      <c r="C25" s="93"/>
      <c r="D25" s="66"/>
      <c r="E25" s="66"/>
      <c r="F25" s="66"/>
      <c r="G25" s="66"/>
      <c r="H25" s="10"/>
      <c r="I25" s="10"/>
      <c r="J25" s="10"/>
      <c r="K25" s="10"/>
      <c r="L25" s="10"/>
      <c r="M25" s="10"/>
      <c r="N25" s="10"/>
      <c r="O25" s="10"/>
      <c r="P25" s="8"/>
    </row>
    <row r="26" spans="1:18" x14ac:dyDescent="0.25">
      <c r="D26" s="66"/>
      <c r="E26" s="66"/>
      <c r="F26" s="66"/>
      <c r="G26" s="66"/>
      <c r="H26" s="10"/>
      <c r="I26" s="10"/>
      <c r="J26" s="10"/>
      <c r="K26" s="10"/>
      <c r="L26" s="10"/>
      <c r="M26" s="10"/>
      <c r="N26" s="10"/>
      <c r="O26" s="10"/>
      <c r="P26" s="8"/>
      <c r="Q26" s="1"/>
    </row>
    <row r="27" spans="1:18" x14ac:dyDescent="0.25">
      <c r="D27" s="66"/>
      <c r="E27" s="66"/>
      <c r="F27" s="66"/>
      <c r="G27" s="66"/>
      <c r="H27" s="10"/>
      <c r="I27" s="10"/>
      <c r="J27" s="10"/>
      <c r="K27" s="10"/>
      <c r="L27" s="10"/>
      <c r="M27" s="10"/>
      <c r="N27" s="10"/>
      <c r="O27" s="10"/>
      <c r="P27" s="8"/>
    </row>
    <row r="28" spans="1:18" x14ac:dyDescent="0.25">
      <c r="D28" s="66"/>
      <c r="E28" s="66"/>
      <c r="F28" s="66"/>
      <c r="G28" s="66"/>
      <c r="H28" s="10"/>
      <c r="I28" s="10"/>
      <c r="J28" s="10"/>
      <c r="K28" s="10"/>
      <c r="L28" s="10"/>
      <c r="M28" s="10"/>
      <c r="N28" s="10"/>
      <c r="O28" s="10"/>
      <c r="P28" s="8"/>
      <c r="Q28" s="1"/>
      <c r="R28" s="1"/>
    </row>
    <row r="29" spans="1:18" x14ac:dyDescent="0.25">
      <c r="D29" s="66"/>
      <c r="E29" s="66"/>
      <c r="F29" s="66"/>
      <c r="G29" s="66"/>
      <c r="H29" s="10"/>
      <c r="I29" s="10"/>
      <c r="J29" s="10"/>
      <c r="K29" s="10"/>
      <c r="L29" s="10"/>
      <c r="M29" s="10"/>
      <c r="N29" s="10"/>
      <c r="O29" s="10"/>
      <c r="P29" s="8"/>
    </row>
    <row r="30" spans="1:18" x14ac:dyDescent="0.25">
      <c r="D30" s="66"/>
      <c r="E30" s="66"/>
      <c r="F30" s="66"/>
      <c r="G30" s="66"/>
      <c r="H30" s="10"/>
      <c r="I30" s="10"/>
      <c r="J30" s="10"/>
      <c r="K30" s="10"/>
      <c r="L30" s="10"/>
      <c r="M30" s="10"/>
      <c r="N30" s="10"/>
      <c r="O30" s="10"/>
      <c r="P30" s="8"/>
    </row>
    <row r="31" spans="1:18" x14ac:dyDescent="0.25">
      <c r="D31" s="66"/>
      <c r="E31" s="66"/>
      <c r="F31" s="66"/>
      <c r="G31" s="66"/>
      <c r="H31" s="10"/>
      <c r="I31" s="10"/>
      <c r="J31" s="10"/>
      <c r="K31" s="10"/>
      <c r="L31" s="10"/>
      <c r="M31" s="10"/>
      <c r="N31" s="10"/>
      <c r="O31" s="10"/>
      <c r="P31" s="8"/>
    </row>
    <row r="32" spans="1:18" x14ac:dyDescent="0.25">
      <c r="D32" s="66"/>
      <c r="E32" s="66"/>
      <c r="F32" s="66"/>
      <c r="G32" s="66"/>
      <c r="H32" s="10"/>
      <c r="I32" s="10"/>
      <c r="J32" s="10"/>
      <c r="K32" s="10"/>
      <c r="L32" s="10"/>
      <c r="M32" s="10"/>
      <c r="N32" s="10"/>
      <c r="O32" s="10"/>
      <c r="P32" s="8"/>
    </row>
    <row r="33" spans="4:16" x14ac:dyDescent="0.25">
      <c r="D33" s="66"/>
      <c r="E33" s="66"/>
      <c r="F33" s="66"/>
      <c r="G33" s="66"/>
      <c r="H33" s="10"/>
      <c r="I33" s="10"/>
      <c r="J33" s="10"/>
      <c r="K33" s="10"/>
      <c r="L33" s="10"/>
      <c r="M33" s="10"/>
      <c r="N33" s="10"/>
      <c r="O33" s="10"/>
      <c r="P33" s="8"/>
    </row>
    <row r="34" spans="4:16" x14ac:dyDescent="0.25">
      <c r="D34" s="66"/>
      <c r="E34" s="66"/>
      <c r="F34" s="66"/>
      <c r="G34" s="66"/>
      <c r="H34" s="10"/>
      <c r="I34" s="10"/>
      <c r="J34" s="10"/>
      <c r="K34" s="10"/>
      <c r="L34" s="10"/>
      <c r="M34" s="10"/>
      <c r="N34" s="10"/>
      <c r="O34" s="10"/>
      <c r="P34" s="8"/>
    </row>
    <row r="35" spans="4:16" x14ac:dyDescent="0.25">
      <c r="D35" s="66"/>
      <c r="E35" s="66"/>
      <c r="F35" s="66"/>
      <c r="G35" s="66"/>
      <c r="H35" s="10"/>
      <c r="I35" s="10"/>
      <c r="J35" s="10"/>
      <c r="K35" s="10"/>
      <c r="L35" s="10"/>
      <c r="M35" s="10"/>
      <c r="N35" s="10"/>
      <c r="O35" s="10"/>
      <c r="P35" s="8"/>
    </row>
    <row r="36" spans="4:16" x14ac:dyDescent="0.25">
      <c r="D36" s="66"/>
      <c r="E36" s="66"/>
      <c r="F36" s="66"/>
      <c r="G36" s="66"/>
      <c r="H36" s="10"/>
      <c r="I36" s="10"/>
      <c r="J36" s="10"/>
      <c r="K36" s="10"/>
      <c r="L36" s="10"/>
      <c r="M36" s="10"/>
      <c r="N36" s="10"/>
      <c r="O36" s="10"/>
      <c r="P36" s="8"/>
    </row>
    <row r="37" spans="4:16" x14ac:dyDescent="0.25">
      <c r="D37" s="66"/>
      <c r="E37" s="66"/>
      <c r="F37" s="66"/>
      <c r="G37" s="66"/>
      <c r="H37" s="10"/>
      <c r="I37" s="10"/>
      <c r="J37" s="10"/>
      <c r="K37" s="10"/>
      <c r="L37" s="10"/>
      <c r="M37" s="10"/>
      <c r="N37" s="10"/>
      <c r="O37" s="10"/>
      <c r="P37" s="8"/>
    </row>
    <row r="38" spans="4:16" x14ac:dyDescent="0.25">
      <c r="D38" s="66"/>
      <c r="E38" s="66"/>
      <c r="F38" s="66"/>
      <c r="G38" s="66"/>
      <c r="H38" s="10"/>
      <c r="I38" s="10"/>
      <c r="J38" s="10"/>
      <c r="K38" s="10"/>
      <c r="L38" s="10"/>
      <c r="M38" s="10"/>
      <c r="N38" s="10"/>
      <c r="O38" s="10"/>
      <c r="P38" s="8"/>
    </row>
    <row r="39" spans="4:16" x14ac:dyDescent="0.25">
      <c r="D39" s="66"/>
      <c r="E39" s="66"/>
      <c r="F39" s="66"/>
      <c r="G39" s="66"/>
      <c r="H39" s="10"/>
      <c r="I39" s="10"/>
      <c r="J39" s="10"/>
      <c r="K39" s="10"/>
      <c r="L39" s="10"/>
      <c r="M39" s="10"/>
      <c r="N39" s="10"/>
      <c r="O39" s="10"/>
      <c r="P39" s="8"/>
    </row>
    <row r="40" spans="4:16" x14ac:dyDescent="0.25">
      <c r="D40" s="66"/>
      <c r="E40" s="66"/>
      <c r="F40" s="66"/>
      <c r="G40" s="66"/>
      <c r="H40" s="10"/>
      <c r="I40" s="10"/>
      <c r="J40" s="10"/>
      <c r="K40" s="10"/>
      <c r="L40" s="10"/>
      <c r="M40" s="10"/>
      <c r="N40" s="10"/>
      <c r="O40" s="10"/>
      <c r="P40" s="8"/>
    </row>
    <row r="41" spans="4:16" x14ac:dyDescent="0.25">
      <c r="D41" s="66"/>
      <c r="E41" s="66"/>
      <c r="F41" s="66"/>
      <c r="G41" s="66"/>
      <c r="H41" s="10"/>
      <c r="I41" s="10"/>
      <c r="J41" s="10"/>
      <c r="K41" s="10"/>
      <c r="L41" s="10"/>
      <c r="M41" s="10"/>
      <c r="N41" s="10"/>
      <c r="O41" s="10"/>
      <c r="P41" s="8"/>
    </row>
    <row r="42" spans="4:16" x14ac:dyDescent="0.25">
      <c r="D42" s="66"/>
      <c r="E42" s="66"/>
      <c r="F42" s="66"/>
      <c r="G42" s="66"/>
      <c r="H42" s="10"/>
      <c r="I42" s="10"/>
      <c r="J42" s="10"/>
      <c r="K42" s="10"/>
      <c r="L42" s="10"/>
      <c r="M42" s="10"/>
      <c r="N42" s="10"/>
      <c r="O42" s="10"/>
      <c r="P42" s="8"/>
    </row>
    <row r="43" spans="4:16" x14ac:dyDescent="0.25">
      <c r="D43" s="66"/>
      <c r="E43" s="66"/>
      <c r="F43" s="66"/>
      <c r="G43" s="66"/>
      <c r="H43" s="10"/>
      <c r="I43" s="10"/>
      <c r="J43" s="10"/>
      <c r="K43" s="10"/>
      <c r="L43" s="10"/>
      <c r="M43" s="10"/>
      <c r="N43" s="10"/>
      <c r="O43" s="10"/>
      <c r="P43" s="8"/>
    </row>
    <row r="44" spans="4:16" x14ac:dyDescent="0.25">
      <c r="D44" s="66"/>
      <c r="E44" s="66"/>
      <c r="F44" s="66"/>
      <c r="G44" s="66"/>
      <c r="H44" s="10"/>
      <c r="I44" s="10"/>
      <c r="J44" s="10"/>
      <c r="K44" s="10"/>
      <c r="L44" s="10"/>
      <c r="M44" s="10"/>
      <c r="N44" s="10"/>
      <c r="O44" s="10"/>
      <c r="P44" s="8"/>
    </row>
    <row r="45" spans="4:16" x14ac:dyDescent="0.25">
      <c r="D45" s="66"/>
      <c r="E45" s="66"/>
      <c r="F45" s="66"/>
      <c r="G45" s="66"/>
      <c r="H45" s="10"/>
      <c r="I45" s="10"/>
      <c r="J45" s="10"/>
      <c r="K45" s="10"/>
      <c r="L45" s="10"/>
      <c r="M45" s="10"/>
      <c r="N45" s="10"/>
      <c r="O45" s="10"/>
      <c r="P45" s="8"/>
    </row>
    <row r="46" spans="4:16" x14ac:dyDescent="0.25">
      <c r="D46" s="66"/>
      <c r="E46" s="66"/>
      <c r="F46" s="66"/>
      <c r="G46" s="66"/>
      <c r="H46" s="10"/>
      <c r="I46" s="10"/>
      <c r="J46" s="10"/>
      <c r="K46" s="10"/>
      <c r="L46" s="10"/>
      <c r="M46" s="10"/>
      <c r="N46" s="10"/>
      <c r="O46" s="10"/>
      <c r="P46" s="8"/>
    </row>
    <row r="47" spans="4:16" x14ac:dyDescent="0.25">
      <c r="D47" s="66"/>
      <c r="E47" s="66"/>
      <c r="F47" s="66"/>
      <c r="G47" s="66"/>
      <c r="H47" s="10"/>
      <c r="I47" s="10"/>
      <c r="J47" s="10"/>
      <c r="K47" s="10"/>
      <c r="L47" s="10"/>
      <c r="M47" s="10"/>
      <c r="N47" s="10"/>
      <c r="O47" s="10"/>
      <c r="P47" s="8"/>
    </row>
    <row r="48" spans="4:16" x14ac:dyDescent="0.25">
      <c r="D48" s="7"/>
      <c r="E48" s="8"/>
      <c r="F48" s="7"/>
      <c r="G48" s="8"/>
      <c r="H48" s="10"/>
      <c r="I48" s="10"/>
      <c r="J48" s="10"/>
      <c r="K48" s="10"/>
      <c r="L48" s="10"/>
      <c r="M48" s="10"/>
      <c r="N48" s="10"/>
      <c r="O48" s="10"/>
      <c r="P48" s="8"/>
    </row>
    <row r="49" spans="4:16" x14ac:dyDescent="0.25">
      <c r="D49" s="7"/>
      <c r="E49" s="8"/>
      <c r="F49" s="7"/>
      <c r="G49" s="8"/>
      <c r="H49" s="10"/>
      <c r="I49" s="10"/>
      <c r="J49" s="10"/>
      <c r="K49" s="10"/>
      <c r="L49" s="10"/>
      <c r="M49" s="10"/>
      <c r="N49" s="10"/>
      <c r="O49" s="10"/>
      <c r="P49" s="8"/>
    </row>
    <row r="50" spans="4:16" x14ac:dyDescent="0.25">
      <c r="D50" s="7"/>
      <c r="E50" s="8"/>
      <c r="F50" s="7"/>
      <c r="G50" s="8"/>
      <c r="H50" s="10"/>
      <c r="I50" s="10"/>
      <c r="J50" s="10"/>
      <c r="K50" s="10"/>
      <c r="L50" s="10"/>
      <c r="M50" s="10"/>
      <c r="N50" s="10"/>
      <c r="O50" s="10"/>
      <c r="P50" s="8"/>
    </row>
    <row r="51" spans="4:16" x14ac:dyDescent="0.25">
      <c r="D51" s="7"/>
      <c r="E51" s="8"/>
      <c r="F51" s="7"/>
      <c r="G51" s="8"/>
      <c r="H51" s="10"/>
      <c r="I51" s="10"/>
      <c r="J51" s="10"/>
      <c r="K51" s="10"/>
      <c r="L51" s="10"/>
      <c r="M51" s="10"/>
      <c r="N51" s="10"/>
      <c r="O51" s="10"/>
      <c r="P51" s="8"/>
    </row>
    <row r="52" spans="4:16" x14ac:dyDescent="0.25">
      <c r="D52" s="7"/>
      <c r="E52" s="8"/>
      <c r="F52" s="7"/>
      <c r="G52" s="8"/>
      <c r="H52" s="10"/>
      <c r="I52" s="10"/>
      <c r="J52" s="10"/>
      <c r="K52" s="10"/>
      <c r="L52" s="10"/>
      <c r="M52" s="10"/>
      <c r="N52" s="10"/>
      <c r="O52" s="10"/>
      <c r="P52" s="8"/>
    </row>
    <row r="53" spans="4:16" x14ac:dyDescent="0.25">
      <c r="D53" s="7"/>
      <c r="E53" s="8"/>
      <c r="F53" s="7"/>
      <c r="G53" s="8"/>
      <c r="H53" s="10"/>
      <c r="I53" s="10"/>
      <c r="J53" s="10"/>
      <c r="K53" s="10"/>
      <c r="L53" s="10"/>
      <c r="M53" s="10"/>
      <c r="N53" s="10"/>
      <c r="O53" s="10"/>
      <c r="P53" s="8"/>
    </row>
    <row r="54" spans="4:16" x14ac:dyDescent="0.25">
      <c r="D54" s="7"/>
      <c r="E54" s="8"/>
      <c r="F54" s="7"/>
      <c r="G54" s="8"/>
      <c r="H54" s="10"/>
      <c r="I54" s="10"/>
      <c r="J54" s="10"/>
      <c r="K54" s="10"/>
      <c r="L54" s="10"/>
      <c r="M54" s="10"/>
      <c r="N54" s="10"/>
      <c r="O54" s="10"/>
      <c r="P54" s="8"/>
    </row>
    <row r="55" spans="4:16" x14ac:dyDescent="0.25">
      <c r="D55" s="7"/>
      <c r="E55" s="8"/>
      <c r="F55" s="7"/>
      <c r="G55" s="8"/>
      <c r="H55" s="10"/>
      <c r="I55" s="10"/>
      <c r="J55" s="10"/>
      <c r="K55" s="10"/>
      <c r="L55" s="10"/>
      <c r="M55" s="10"/>
      <c r="N55" s="10"/>
      <c r="O55" s="10"/>
      <c r="P55" s="8"/>
    </row>
    <row r="56" spans="4:16" x14ac:dyDescent="0.25">
      <c r="D56" s="7"/>
      <c r="E56" s="8"/>
      <c r="F56" s="7"/>
      <c r="G56" s="8"/>
      <c r="H56" s="10"/>
      <c r="I56" s="10"/>
      <c r="J56" s="10"/>
      <c r="K56" s="10"/>
      <c r="L56" s="10"/>
      <c r="M56" s="10"/>
      <c r="N56" s="10"/>
      <c r="O56" s="10"/>
      <c r="P56" s="8"/>
    </row>
    <row r="57" spans="4:16" x14ac:dyDescent="0.25">
      <c r="D57" s="7"/>
      <c r="E57" s="8"/>
      <c r="F57" s="7"/>
      <c r="G57" s="8"/>
      <c r="H57" s="10"/>
      <c r="I57" s="10"/>
      <c r="J57" s="10"/>
      <c r="K57" s="10"/>
      <c r="L57" s="10"/>
      <c r="M57" s="10"/>
      <c r="N57" s="10"/>
      <c r="O57" s="10"/>
      <c r="P57" s="8"/>
    </row>
    <row r="58" spans="4:16" x14ac:dyDescent="0.25">
      <c r="D58" s="7"/>
      <c r="E58" s="8"/>
      <c r="F58" s="7"/>
      <c r="G58" s="8"/>
      <c r="H58" s="10"/>
      <c r="I58" s="10"/>
      <c r="J58" s="10"/>
      <c r="K58" s="10"/>
      <c r="L58" s="10"/>
      <c r="M58" s="10"/>
      <c r="N58" s="10"/>
      <c r="O58" s="10"/>
      <c r="P58" s="8"/>
    </row>
    <row r="59" spans="4:16" x14ac:dyDescent="0.25">
      <c r="D59" s="7"/>
      <c r="E59" s="8"/>
      <c r="F59" s="7"/>
      <c r="G59" s="8"/>
      <c r="H59" s="10"/>
      <c r="I59" s="10"/>
      <c r="J59" s="10"/>
      <c r="K59" s="10"/>
      <c r="L59" s="10"/>
      <c r="M59" s="10"/>
      <c r="N59" s="10"/>
      <c r="O59" s="10"/>
      <c r="P59" s="8"/>
    </row>
    <row r="60" spans="4:16" x14ac:dyDescent="0.25">
      <c r="D60" s="7"/>
      <c r="E60" s="8"/>
      <c r="F60" s="7"/>
      <c r="G60" s="8"/>
      <c r="H60" s="10"/>
      <c r="I60" s="10"/>
      <c r="J60" s="10"/>
      <c r="K60" s="10"/>
      <c r="L60" s="10"/>
      <c r="M60" s="10"/>
      <c r="N60" s="10"/>
      <c r="O60" s="10"/>
      <c r="P60" s="8"/>
    </row>
    <row r="61" spans="4:16" x14ac:dyDescent="0.25">
      <c r="D61" s="7"/>
      <c r="E61" s="8"/>
      <c r="F61" s="7"/>
      <c r="G61" s="8"/>
      <c r="H61" s="10"/>
      <c r="I61" s="10"/>
      <c r="J61" s="10"/>
      <c r="K61" s="10"/>
      <c r="L61" s="10"/>
      <c r="M61" s="10"/>
      <c r="N61" s="10"/>
      <c r="O61" s="10"/>
      <c r="P61" s="8"/>
    </row>
    <row r="62" spans="4:16" x14ac:dyDescent="0.25">
      <c r="D62" s="7"/>
      <c r="E62" s="8"/>
      <c r="F62" s="7"/>
      <c r="G62" s="8"/>
      <c r="H62" s="10"/>
      <c r="I62" s="10"/>
      <c r="J62" s="10"/>
      <c r="K62" s="10"/>
      <c r="L62" s="10"/>
      <c r="M62" s="10"/>
      <c r="N62" s="10"/>
      <c r="O62" s="10"/>
      <c r="P62" s="8"/>
    </row>
    <row r="63" spans="4:16" x14ac:dyDescent="0.25">
      <c r="D63" s="7"/>
      <c r="E63" s="8"/>
      <c r="F63" s="7"/>
      <c r="G63" s="8"/>
      <c r="H63" s="10"/>
      <c r="I63" s="10"/>
      <c r="J63" s="10"/>
      <c r="K63" s="10"/>
      <c r="L63" s="10"/>
      <c r="M63" s="10"/>
      <c r="N63" s="10"/>
      <c r="O63" s="10"/>
      <c r="P63" s="8"/>
    </row>
    <row r="64" spans="4:16" x14ac:dyDescent="0.25">
      <c r="D64" s="7"/>
      <c r="E64" s="8"/>
      <c r="F64" s="7"/>
      <c r="G64" s="8"/>
      <c r="H64" s="10"/>
      <c r="I64" s="10"/>
      <c r="J64" s="10"/>
      <c r="K64" s="10"/>
      <c r="L64" s="10"/>
      <c r="M64" s="10"/>
      <c r="N64" s="10"/>
      <c r="O64" s="10"/>
      <c r="P64" s="8"/>
    </row>
    <row r="65" spans="4:16" x14ac:dyDescent="0.25">
      <c r="D65" s="7"/>
      <c r="E65" s="8"/>
      <c r="F65" s="7"/>
      <c r="G65" s="8"/>
      <c r="H65" s="10"/>
      <c r="I65" s="10"/>
      <c r="J65" s="10"/>
      <c r="K65" s="10"/>
      <c r="L65" s="10"/>
      <c r="M65" s="10"/>
      <c r="N65" s="10"/>
      <c r="O65" s="10"/>
      <c r="P65" s="8"/>
    </row>
    <row r="66" spans="4:16" x14ac:dyDescent="0.25">
      <c r="D66" s="7"/>
      <c r="E66" s="8"/>
      <c r="F66" s="7"/>
      <c r="G66" s="8"/>
      <c r="H66" s="10"/>
      <c r="I66" s="10"/>
      <c r="J66" s="10"/>
      <c r="K66" s="10"/>
      <c r="L66" s="10"/>
      <c r="M66" s="10"/>
      <c r="N66" s="10"/>
      <c r="O66" s="10"/>
      <c r="P66" s="8"/>
    </row>
    <row r="67" spans="4:16" x14ac:dyDescent="0.25">
      <c r="D67" s="7"/>
      <c r="E67" s="8"/>
      <c r="F67" s="7"/>
      <c r="G67" s="8"/>
      <c r="H67" s="10"/>
      <c r="I67" s="10"/>
      <c r="J67" s="10"/>
      <c r="K67" s="10"/>
      <c r="L67" s="10"/>
      <c r="M67" s="10"/>
      <c r="N67" s="10"/>
      <c r="O67" s="10"/>
      <c r="P67" s="8"/>
    </row>
    <row r="68" spans="4:16" x14ac:dyDescent="0.25">
      <c r="D68" s="7"/>
      <c r="E68" s="8"/>
      <c r="F68" s="7"/>
      <c r="G68" s="8"/>
      <c r="H68" s="10"/>
      <c r="I68" s="10"/>
      <c r="J68" s="10"/>
      <c r="K68" s="10"/>
      <c r="L68" s="10"/>
      <c r="M68" s="10"/>
      <c r="N68" s="10"/>
      <c r="O68" s="10"/>
      <c r="P68" s="8"/>
    </row>
    <row r="69" spans="4:16" x14ac:dyDescent="0.25">
      <c r="D69" s="7"/>
      <c r="E69" s="8"/>
      <c r="F69" s="7"/>
      <c r="G69" s="8"/>
      <c r="H69" s="10"/>
      <c r="I69" s="10"/>
      <c r="J69" s="10"/>
      <c r="K69" s="10"/>
      <c r="L69" s="10"/>
      <c r="M69" s="10"/>
      <c r="N69" s="10"/>
      <c r="O69" s="10"/>
      <c r="P69" s="8"/>
    </row>
    <row r="70" spans="4:16" x14ac:dyDescent="0.25">
      <c r="D70" s="7"/>
      <c r="E70" s="8"/>
      <c r="F70" s="7"/>
      <c r="G70" s="8"/>
      <c r="H70" s="10"/>
      <c r="I70" s="10"/>
      <c r="J70" s="10"/>
      <c r="K70" s="10"/>
      <c r="L70" s="10"/>
      <c r="M70" s="10"/>
      <c r="N70" s="10"/>
      <c r="O70" s="10"/>
      <c r="P70" s="8"/>
    </row>
    <row r="71" spans="4:16" x14ac:dyDescent="0.25">
      <c r="D71" s="7"/>
      <c r="E71" s="8"/>
      <c r="F71" s="7"/>
      <c r="G71" s="8"/>
      <c r="H71" s="10"/>
      <c r="I71" s="10"/>
      <c r="J71" s="10"/>
      <c r="K71" s="10"/>
      <c r="L71" s="10"/>
      <c r="M71" s="10"/>
      <c r="N71" s="10"/>
      <c r="O71" s="10"/>
      <c r="P71" s="8"/>
    </row>
    <row r="72" spans="4:16" x14ac:dyDescent="0.25">
      <c r="D72" s="7"/>
      <c r="E72" s="8"/>
      <c r="F72" s="7"/>
      <c r="G72" s="8"/>
      <c r="H72" s="10"/>
      <c r="I72" s="10"/>
      <c r="J72" s="10"/>
      <c r="K72" s="10"/>
      <c r="L72" s="10"/>
      <c r="M72" s="10"/>
      <c r="N72" s="10"/>
      <c r="O72" s="10"/>
      <c r="P72" s="8"/>
    </row>
    <row r="73" spans="4:16" x14ac:dyDescent="0.25">
      <c r="D73" s="7"/>
      <c r="E73" s="8"/>
      <c r="F73" s="7"/>
      <c r="G73" s="8"/>
      <c r="H73" s="10"/>
      <c r="I73" s="10"/>
      <c r="J73" s="10"/>
      <c r="K73" s="10"/>
      <c r="L73" s="10"/>
      <c r="M73" s="10"/>
      <c r="N73" s="10"/>
      <c r="O73" s="10"/>
      <c r="P73" s="8"/>
    </row>
    <row r="74" spans="4:16" x14ac:dyDescent="0.25">
      <c r="D74" s="7"/>
      <c r="E74" s="8"/>
      <c r="F74" s="7"/>
      <c r="G74" s="8"/>
      <c r="H74" s="10"/>
      <c r="I74" s="10"/>
      <c r="J74" s="10"/>
      <c r="K74" s="10"/>
      <c r="L74" s="10"/>
      <c r="M74" s="10"/>
      <c r="N74" s="10"/>
      <c r="O74" s="10"/>
      <c r="P74" s="8"/>
    </row>
    <row r="75" spans="4:16" x14ac:dyDescent="0.25">
      <c r="D75" s="7"/>
      <c r="E75" s="8"/>
      <c r="F75" s="7"/>
      <c r="G75" s="8"/>
      <c r="H75" s="10"/>
      <c r="I75" s="10"/>
      <c r="J75" s="10"/>
      <c r="K75" s="10"/>
      <c r="L75" s="10"/>
      <c r="M75" s="10"/>
      <c r="N75" s="10"/>
      <c r="O75" s="10"/>
      <c r="P75" s="8"/>
    </row>
    <row r="76" spans="4:16" x14ac:dyDescent="0.25">
      <c r="D76" s="7"/>
      <c r="E76" s="8"/>
      <c r="F76" s="7"/>
      <c r="G76" s="8"/>
      <c r="H76" s="10"/>
      <c r="I76" s="10"/>
      <c r="J76" s="10"/>
      <c r="K76" s="10"/>
      <c r="L76" s="10"/>
      <c r="M76" s="10"/>
      <c r="N76" s="10"/>
      <c r="O76" s="10"/>
      <c r="P76" s="8"/>
    </row>
    <row r="77" spans="4:16" x14ac:dyDescent="0.25">
      <c r="D77" s="7"/>
      <c r="E77" s="8"/>
      <c r="F77" s="7"/>
      <c r="G77" s="8"/>
      <c r="H77" s="10"/>
      <c r="I77" s="10"/>
      <c r="J77" s="10"/>
      <c r="K77" s="10"/>
      <c r="L77" s="10"/>
      <c r="M77" s="10"/>
      <c r="N77" s="10"/>
      <c r="O77" s="10"/>
      <c r="P77" s="8"/>
    </row>
    <row r="78" spans="4:16" x14ac:dyDescent="0.25">
      <c r="D78" s="7"/>
      <c r="E78" s="8"/>
      <c r="F78" s="7"/>
      <c r="G78" s="8"/>
      <c r="H78" s="10"/>
      <c r="I78" s="10"/>
      <c r="J78" s="10"/>
      <c r="K78" s="10"/>
      <c r="L78" s="10"/>
      <c r="M78" s="10"/>
      <c r="N78" s="10"/>
      <c r="O78" s="10"/>
      <c r="P78" s="8"/>
    </row>
    <row r="79" spans="4:16" x14ac:dyDescent="0.25">
      <c r="D79" s="7"/>
      <c r="E79" s="8"/>
      <c r="F79" s="7"/>
      <c r="G79" s="8"/>
      <c r="H79" s="10"/>
      <c r="I79" s="10"/>
      <c r="J79" s="10"/>
      <c r="K79" s="10"/>
      <c r="L79" s="10"/>
      <c r="M79" s="10"/>
      <c r="N79" s="10"/>
      <c r="O79" s="10"/>
      <c r="P79" s="8"/>
    </row>
    <row r="80" spans="4:16" x14ac:dyDescent="0.25">
      <c r="D80" s="7"/>
      <c r="E80" s="8"/>
      <c r="F80" s="7"/>
      <c r="G80" s="8"/>
      <c r="H80" s="10"/>
      <c r="I80" s="10"/>
      <c r="J80" s="10"/>
      <c r="K80" s="10"/>
      <c r="L80" s="10"/>
      <c r="M80" s="10"/>
      <c r="N80" s="10"/>
      <c r="O80" s="10"/>
      <c r="P80" s="8"/>
    </row>
    <row r="81" spans="4:16" x14ac:dyDescent="0.25">
      <c r="D81" s="7"/>
      <c r="E81" s="8"/>
      <c r="F81" s="7"/>
      <c r="G81" s="8"/>
      <c r="H81" s="10"/>
      <c r="I81" s="10"/>
      <c r="J81" s="10"/>
      <c r="K81" s="10"/>
      <c r="L81" s="10"/>
      <c r="M81" s="10"/>
      <c r="N81" s="10"/>
      <c r="O81" s="10"/>
      <c r="P81" s="8"/>
    </row>
    <row r="82" spans="4:16" x14ac:dyDescent="0.25">
      <c r="D82" s="7"/>
      <c r="E82" s="8"/>
      <c r="F82" s="7"/>
      <c r="G82" s="8"/>
      <c r="H82" s="10"/>
      <c r="I82" s="10"/>
      <c r="J82" s="10"/>
      <c r="K82" s="10"/>
      <c r="L82" s="10"/>
      <c r="M82" s="10"/>
      <c r="N82" s="10"/>
      <c r="O82" s="10"/>
      <c r="P82" s="8"/>
    </row>
    <row r="83" spans="4:16" x14ac:dyDescent="0.25">
      <c r="D83" s="7"/>
      <c r="E83" s="8"/>
      <c r="F83" s="7"/>
      <c r="G83" s="8"/>
      <c r="H83" s="10"/>
      <c r="I83" s="10"/>
      <c r="J83" s="10"/>
      <c r="K83" s="10"/>
      <c r="L83" s="10"/>
      <c r="M83" s="10"/>
      <c r="N83" s="10"/>
      <c r="O83" s="10"/>
      <c r="P83" s="8"/>
    </row>
    <row r="84" spans="4:16" x14ac:dyDescent="0.25">
      <c r="D84" s="7"/>
      <c r="E84" s="8"/>
      <c r="F84" s="7"/>
      <c r="G84" s="8"/>
      <c r="H84" s="10"/>
      <c r="I84" s="10"/>
      <c r="J84" s="10"/>
      <c r="K84" s="10"/>
      <c r="L84" s="10"/>
      <c r="M84" s="10"/>
      <c r="N84" s="10"/>
      <c r="O84" s="10"/>
      <c r="P84" s="8"/>
    </row>
    <row r="85" spans="4:16" x14ac:dyDescent="0.25">
      <c r="D85" s="7"/>
      <c r="E85" s="8"/>
      <c r="F85" s="7"/>
      <c r="G85" s="8"/>
      <c r="H85" s="10"/>
      <c r="I85" s="10"/>
      <c r="J85" s="10"/>
      <c r="K85" s="10"/>
      <c r="L85" s="10"/>
      <c r="M85" s="10"/>
      <c r="N85" s="10"/>
      <c r="O85" s="10"/>
      <c r="P85" s="8"/>
    </row>
    <row r="86" spans="4:16" x14ac:dyDescent="0.25">
      <c r="D86" s="7"/>
      <c r="E86" s="8"/>
      <c r="F86" s="7"/>
      <c r="G86" s="8"/>
      <c r="H86" s="10"/>
      <c r="I86" s="10"/>
      <c r="J86" s="10"/>
      <c r="K86" s="10"/>
      <c r="L86" s="10"/>
      <c r="M86" s="10"/>
      <c r="N86" s="10"/>
      <c r="O86" s="10"/>
      <c r="P86" s="8"/>
    </row>
    <row r="87" spans="4:16" x14ac:dyDescent="0.25">
      <c r="D87" s="7"/>
      <c r="E87" s="8"/>
      <c r="F87" s="7"/>
      <c r="G87" s="8"/>
      <c r="H87" s="10"/>
      <c r="I87" s="10"/>
      <c r="J87" s="10"/>
      <c r="K87" s="10"/>
      <c r="L87" s="10"/>
      <c r="M87" s="10"/>
      <c r="N87" s="10"/>
      <c r="O87" s="10"/>
      <c r="P87" s="8"/>
    </row>
    <row r="88" spans="4:16" x14ac:dyDescent="0.25">
      <c r="D88" s="7"/>
      <c r="E88" s="8"/>
      <c r="F88" s="7"/>
      <c r="G88" s="8"/>
      <c r="H88" s="10"/>
      <c r="I88" s="10"/>
      <c r="J88" s="10"/>
      <c r="K88" s="10"/>
      <c r="L88" s="10"/>
      <c r="M88" s="10"/>
      <c r="N88" s="10"/>
      <c r="O88" s="10"/>
      <c r="P88" s="8"/>
    </row>
    <row r="89" spans="4:16" x14ac:dyDescent="0.25">
      <c r="D89" s="7"/>
      <c r="E89" s="8"/>
      <c r="F89" s="7"/>
      <c r="G89" s="8"/>
      <c r="H89" s="10"/>
      <c r="I89" s="10"/>
      <c r="J89" s="10"/>
      <c r="K89" s="10"/>
      <c r="L89" s="10"/>
      <c r="M89" s="10"/>
      <c r="N89" s="10"/>
      <c r="O89" s="10"/>
      <c r="P89" s="8"/>
    </row>
    <row r="90" spans="4:16" x14ac:dyDescent="0.25">
      <c r="D90" s="7"/>
      <c r="E90" s="8"/>
      <c r="F90" s="7"/>
      <c r="G90" s="8"/>
      <c r="H90" s="10"/>
      <c r="I90" s="10"/>
      <c r="J90" s="10"/>
      <c r="K90" s="10"/>
      <c r="L90" s="10"/>
      <c r="M90" s="10"/>
      <c r="N90" s="10"/>
      <c r="O90" s="10"/>
      <c r="P90" s="8"/>
    </row>
    <row r="91" spans="4:16" x14ac:dyDescent="0.25">
      <c r="D91" s="7"/>
      <c r="E91" s="8"/>
      <c r="F91" s="7"/>
      <c r="G91" s="8"/>
      <c r="H91" s="10"/>
      <c r="I91" s="10"/>
      <c r="J91" s="10"/>
      <c r="K91" s="10"/>
      <c r="L91" s="10"/>
      <c r="M91" s="10"/>
      <c r="N91" s="10"/>
      <c r="O91" s="10"/>
      <c r="P91" s="8"/>
    </row>
    <row r="92" spans="4:16" x14ac:dyDescent="0.25">
      <c r="D92" s="7"/>
      <c r="E92" s="8"/>
      <c r="F92" s="7"/>
      <c r="G92" s="8"/>
      <c r="H92" s="10"/>
      <c r="I92" s="10"/>
      <c r="J92" s="10"/>
      <c r="K92" s="10"/>
      <c r="L92" s="10"/>
      <c r="M92" s="10"/>
      <c r="N92" s="10"/>
      <c r="O92" s="10"/>
      <c r="P92" s="8"/>
    </row>
    <row r="93" spans="4:16" x14ac:dyDescent="0.25">
      <c r="D93" s="7"/>
      <c r="E93" s="8"/>
      <c r="F93" s="7"/>
      <c r="G93" s="8"/>
      <c r="H93" s="10"/>
      <c r="I93" s="10"/>
      <c r="J93" s="10"/>
      <c r="K93" s="10"/>
      <c r="L93" s="10"/>
      <c r="M93" s="10"/>
      <c r="N93" s="10"/>
      <c r="O93" s="10"/>
      <c r="P93" s="8"/>
    </row>
    <row r="94" spans="4:16" x14ac:dyDescent="0.25">
      <c r="D94" s="7"/>
      <c r="E94" s="8"/>
      <c r="F94" s="7"/>
      <c r="G94" s="8"/>
      <c r="H94" s="10"/>
      <c r="I94" s="10"/>
      <c r="J94" s="10"/>
      <c r="K94" s="10"/>
      <c r="L94" s="10"/>
      <c r="M94" s="10"/>
      <c r="N94" s="10"/>
      <c r="O94" s="10"/>
      <c r="P94" s="8"/>
    </row>
    <row r="95" spans="4:16" x14ac:dyDescent="0.25">
      <c r="D95" s="7"/>
      <c r="E95" s="8"/>
      <c r="F95" s="7"/>
      <c r="G95" s="8"/>
      <c r="H95" s="10"/>
      <c r="I95" s="10"/>
      <c r="J95" s="10"/>
      <c r="K95" s="10"/>
      <c r="L95" s="10"/>
      <c r="M95" s="10"/>
      <c r="N95" s="10"/>
      <c r="O95" s="10"/>
      <c r="P95" s="8"/>
    </row>
    <row r="96" spans="4:16" x14ac:dyDescent="0.25">
      <c r="D96" s="7"/>
      <c r="E96" s="8"/>
      <c r="F96" s="7"/>
      <c r="G96" s="8"/>
      <c r="H96" s="10"/>
      <c r="I96" s="10"/>
      <c r="J96" s="10"/>
      <c r="K96" s="10"/>
      <c r="L96" s="10"/>
      <c r="M96" s="10"/>
      <c r="N96" s="10"/>
      <c r="O96" s="10"/>
      <c r="P96" s="8"/>
    </row>
    <row r="97" spans="4:16" x14ac:dyDescent="0.25">
      <c r="D97" s="7"/>
      <c r="E97" s="8"/>
      <c r="F97" s="7"/>
      <c r="G97" s="8"/>
      <c r="H97" s="10"/>
      <c r="I97" s="10"/>
      <c r="J97" s="10"/>
      <c r="K97" s="10"/>
      <c r="L97" s="10"/>
      <c r="M97" s="10"/>
      <c r="N97" s="10"/>
      <c r="O97" s="10"/>
      <c r="P97" s="8"/>
    </row>
    <row r="98" spans="4:16" x14ac:dyDescent="0.25">
      <c r="D98" s="7"/>
      <c r="E98" s="8"/>
      <c r="F98" s="7"/>
      <c r="G98" s="8"/>
      <c r="H98" s="10"/>
      <c r="I98" s="10"/>
      <c r="J98" s="10"/>
      <c r="K98" s="10"/>
      <c r="L98" s="10"/>
      <c r="M98" s="10"/>
      <c r="N98" s="10"/>
      <c r="O98" s="10"/>
      <c r="P98" s="8"/>
    </row>
    <row r="99" spans="4:16" x14ac:dyDescent="0.25">
      <c r="D99" s="7"/>
      <c r="E99" s="8"/>
      <c r="F99" s="7"/>
      <c r="G99" s="8"/>
      <c r="H99" s="10"/>
      <c r="I99" s="10"/>
      <c r="J99" s="10"/>
      <c r="K99" s="10"/>
      <c r="L99" s="10"/>
      <c r="M99" s="10"/>
      <c r="N99" s="10"/>
      <c r="O99" s="10"/>
      <c r="P99" s="8"/>
    </row>
    <row r="100" spans="4:16" x14ac:dyDescent="0.25">
      <c r="D100" s="7"/>
      <c r="E100" s="8"/>
      <c r="F100" s="7"/>
      <c r="G100" s="8"/>
      <c r="H100" s="10"/>
      <c r="I100" s="10"/>
      <c r="J100" s="10"/>
      <c r="K100" s="10"/>
      <c r="L100" s="10"/>
      <c r="M100" s="10"/>
      <c r="N100" s="10"/>
      <c r="O100" s="10"/>
      <c r="P100" s="8"/>
    </row>
    <row r="101" spans="4:16" ht="15.75" thickBot="1" x14ac:dyDescent="0.3">
      <c r="D101" s="6"/>
      <c r="E101" s="5"/>
      <c r="F101" s="6"/>
      <c r="G101" s="5"/>
      <c r="H101" s="11"/>
      <c r="I101" s="11"/>
      <c r="J101" s="11"/>
      <c r="K101" s="11"/>
      <c r="L101" s="11"/>
      <c r="M101" s="11"/>
      <c r="N101" s="11"/>
      <c r="O101" s="11"/>
      <c r="P101" s="5"/>
    </row>
    <row r="102" spans="4:16" x14ac:dyDescent="0.25">
      <c r="D102" s="10"/>
      <c r="E102" s="10"/>
      <c r="F102" s="27"/>
      <c r="G102" s="27"/>
      <c r="H102" s="3"/>
      <c r="I102" s="3"/>
      <c r="J102" s="3"/>
      <c r="K102" s="3"/>
      <c r="L102" s="3"/>
      <c r="M102" s="3"/>
      <c r="N102" s="3"/>
      <c r="O102" s="3"/>
      <c r="P102" s="3"/>
    </row>
    <row r="103" spans="4:16" x14ac:dyDescent="0.25">
      <c r="D103" s="10"/>
      <c r="E103" s="10"/>
      <c r="F103" s="27"/>
      <c r="G103" s="27"/>
      <c r="H103" s="3"/>
      <c r="I103" s="3"/>
      <c r="J103" s="3"/>
      <c r="K103" s="3"/>
      <c r="L103" s="3"/>
      <c r="M103" s="3"/>
      <c r="N103" s="3"/>
      <c r="O103" s="3"/>
      <c r="P103" s="3"/>
    </row>
    <row r="104" spans="4:16" x14ac:dyDescent="0.25">
      <c r="D104" s="10"/>
      <c r="E104" s="10"/>
      <c r="F104" s="27"/>
      <c r="G104" s="27"/>
      <c r="H104" s="3"/>
      <c r="I104" s="3"/>
      <c r="J104" s="3"/>
      <c r="K104" s="3"/>
      <c r="L104" s="3"/>
      <c r="M104" s="3"/>
      <c r="N104" s="3"/>
      <c r="O104" s="3"/>
      <c r="P104" s="3"/>
    </row>
    <row r="105" spans="4:16" x14ac:dyDescent="0.25">
      <c r="D105" s="10"/>
      <c r="E105" s="10"/>
      <c r="F105" s="27"/>
      <c r="G105" s="27"/>
      <c r="H105" s="3"/>
      <c r="I105" s="3"/>
      <c r="J105" s="3"/>
      <c r="K105" s="3"/>
      <c r="L105" s="3"/>
      <c r="M105" s="3"/>
      <c r="N105" s="3"/>
      <c r="O105" s="3"/>
      <c r="P105" s="3"/>
    </row>
    <row r="106" spans="4:16" x14ac:dyDescent="0.25">
      <c r="D106" s="10"/>
      <c r="E106" s="10"/>
      <c r="F106" s="27"/>
      <c r="G106" s="27"/>
      <c r="H106" s="3"/>
      <c r="I106" s="3"/>
      <c r="J106" s="3"/>
      <c r="K106" s="3"/>
      <c r="L106" s="3"/>
      <c r="M106" s="3"/>
      <c r="N106" s="3"/>
      <c r="O106" s="3"/>
      <c r="P106" s="3"/>
    </row>
    <row r="107" spans="4:16" x14ac:dyDescent="0.25">
      <c r="D107" s="10"/>
      <c r="E107" s="10"/>
      <c r="F107" s="27"/>
      <c r="G107" s="27"/>
      <c r="H107" s="3"/>
      <c r="I107" s="3"/>
      <c r="J107" s="3"/>
      <c r="K107" s="3"/>
      <c r="L107" s="3"/>
      <c r="M107" s="3"/>
      <c r="N107" s="3"/>
      <c r="O107" s="3"/>
      <c r="P107" s="3"/>
    </row>
    <row r="108" spans="4:16" x14ac:dyDescent="0.25">
      <c r="D108" s="10"/>
      <c r="E108" s="10"/>
      <c r="F108" s="27"/>
      <c r="G108" s="27"/>
      <c r="H108" s="3"/>
      <c r="I108" s="3"/>
      <c r="J108" s="3"/>
      <c r="K108" s="3"/>
      <c r="L108" s="3"/>
      <c r="M108" s="3"/>
      <c r="N108" s="3"/>
      <c r="O108" s="3"/>
      <c r="P108" s="3"/>
    </row>
    <row r="109" spans="4:16" x14ac:dyDescent="0.25">
      <c r="D109" s="10"/>
      <c r="E109" s="10"/>
      <c r="F109" s="27"/>
      <c r="G109" s="27"/>
      <c r="H109" s="3"/>
      <c r="I109" s="3"/>
      <c r="J109" s="3"/>
      <c r="K109" s="3"/>
      <c r="L109" s="3"/>
      <c r="M109" s="3"/>
      <c r="N109" s="3"/>
      <c r="O109" s="3"/>
      <c r="P109" s="3"/>
    </row>
    <row r="110" spans="4:16" x14ac:dyDescent="0.25">
      <c r="D110" s="10"/>
      <c r="E110" s="10"/>
      <c r="F110" s="27"/>
      <c r="G110" s="27"/>
      <c r="H110" s="3"/>
      <c r="I110" s="3"/>
      <c r="J110" s="3"/>
      <c r="K110" s="3"/>
      <c r="L110" s="3"/>
      <c r="M110" s="3"/>
      <c r="N110" s="3"/>
      <c r="O110" s="3"/>
      <c r="P110" s="3"/>
    </row>
    <row r="111" spans="4:16" x14ac:dyDescent="0.25">
      <c r="D111" s="10"/>
      <c r="E111" s="10"/>
      <c r="F111" s="27"/>
      <c r="G111" s="27"/>
      <c r="H111" s="3"/>
      <c r="I111" s="3"/>
      <c r="J111" s="3"/>
      <c r="K111" s="3"/>
      <c r="L111" s="3"/>
      <c r="M111" s="3"/>
      <c r="N111" s="3"/>
      <c r="O111" s="3"/>
      <c r="P111" s="3"/>
    </row>
    <row r="112" spans="4:16" x14ac:dyDescent="0.25">
      <c r="D112" s="10"/>
      <c r="E112" s="10"/>
      <c r="F112" s="27"/>
      <c r="G112" s="27"/>
      <c r="H112" s="3"/>
      <c r="I112" s="3"/>
      <c r="J112" s="3"/>
      <c r="K112" s="3"/>
      <c r="L112" s="3"/>
      <c r="M112" s="3"/>
      <c r="N112" s="3"/>
      <c r="O112" s="3"/>
      <c r="P112" s="3"/>
    </row>
    <row r="113" spans="4:16" x14ac:dyDescent="0.25">
      <c r="D113" s="10"/>
      <c r="E113" s="10"/>
      <c r="F113" s="27"/>
      <c r="G113" s="27"/>
      <c r="H113" s="3"/>
      <c r="I113" s="3"/>
      <c r="J113" s="3"/>
      <c r="K113" s="3"/>
      <c r="L113" s="3"/>
      <c r="M113" s="3"/>
      <c r="N113" s="3"/>
      <c r="O113" s="3"/>
      <c r="P113" s="3"/>
    </row>
    <row r="114" spans="4:16" x14ac:dyDescent="0.25">
      <c r="D114" s="10"/>
      <c r="E114" s="10"/>
      <c r="F114" s="27"/>
      <c r="G114" s="27"/>
      <c r="H114" s="3"/>
      <c r="I114" s="3"/>
      <c r="J114" s="3"/>
      <c r="K114" s="3"/>
      <c r="L114" s="3"/>
      <c r="M114" s="3"/>
      <c r="N114" s="3"/>
      <c r="O114" s="3"/>
      <c r="P114" s="3"/>
    </row>
    <row r="115" spans="4:16" x14ac:dyDescent="0.25">
      <c r="D115" s="10"/>
      <c r="E115" s="10"/>
      <c r="F115" s="27"/>
      <c r="G115" s="27"/>
      <c r="H115" s="3"/>
      <c r="I115" s="3"/>
      <c r="J115" s="3"/>
      <c r="K115" s="3"/>
      <c r="L115" s="3"/>
      <c r="M115" s="3"/>
      <c r="N115" s="3"/>
      <c r="O115" s="3"/>
      <c r="P115" s="3"/>
    </row>
    <row r="116" spans="4:16" x14ac:dyDescent="0.25">
      <c r="D116" s="10"/>
      <c r="E116" s="10"/>
      <c r="F116" s="27"/>
      <c r="G116" s="27"/>
      <c r="H116" s="3"/>
      <c r="I116" s="3"/>
      <c r="J116" s="3"/>
      <c r="K116" s="3"/>
      <c r="L116" s="3"/>
      <c r="M116" s="3"/>
      <c r="N116" s="3"/>
      <c r="O116" s="3"/>
      <c r="P116" s="3"/>
    </row>
    <row r="117" spans="4:16" x14ac:dyDescent="0.25">
      <c r="D117" s="10"/>
      <c r="E117" s="10"/>
      <c r="F117" s="27"/>
      <c r="G117" s="27"/>
      <c r="H117" s="3"/>
      <c r="I117" s="3"/>
      <c r="J117" s="3"/>
      <c r="K117" s="3"/>
      <c r="L117" s="3"/>
      <c r="M117" s="3"/>
      <c r="N117" s="3"/>
      <c r="O117" s="3"/>
      <c r="P117" s="3"/>
    </row>
    <row r="118" spans="4:16" x14ac:dyDescent="0.25">
      <c r="D118" s="10"/>
      <c r="E118" s="10"/>
      <c r="F118" s="27"/>
      <c r="G118" s="27"/>
      <c r="H118" s="3"/>
      <c r="I118" s="3"/>
      <c r="J118" s="3"/>
      <c r="K118" s="3"/>
      <c r="L118" s="3"/>
      <c r="M118" s="3"/>
      <c r="N118" s="3"/>
      <c r="O118" s="3"/>
      <c r="P118" s="3"/>
    </row>
    <row r="119" spans="4:16" x14ac:dyDescent="0.25">
      <c r="D119" s="10"/>
      <c r="E119" s="10"/>
      <c r="F119" s="27"/>
      <c r="G119" s="27"/>
      <c r="H119" s="3"/>
      <c r="I119" s="3"/>
      <c r="J119" s="3"/>
      <c r="K119" s="3"/>
      <c r="L119" s="3"/>
      <c r="M119" s="3"/>
      <c r="N119" s="3"/>
      <c r="O119" s="3"/>
      <c r="P119" s="3"/>
    </row>
    <row r="120" spans="4:16" x14ac:dyDescent="0.25">
      <c r="D120" s="10"/>
      <c r="E120" s="10"/>
      <c r="F120" s="27"/>
      <c r="G120" s="27"/>
      <c r="H120" s="3"/>
      <c r="I120" s="3"/>
      <c r="J120" s="3"/>
      <c r="K120" s="3"/>
      <c r="L120" s="3"/>
      <c r="M120" s="3"/>
      <c r="N120" s="3"/>
      <c r="O120" s="3"/>
      <c r="P120" s="3"/>
    </row>
    <row r="121" spans="4:16" x14ac:dyDescent="0.25">
      <c r="D121" s="10"/>
      <c r="E121" s="10"/>
      <c r="F121" s="27"/>
      <c r="G121" s="27"/>
      <c r="H121" s="3"/>
      <c r="I121" s="3"/>
      <c r="J121" s="3"/>
      <c r="K121" s="3"/>
      <c r="L121" s="3"/>
      <c r="M121" s="3"/>
      <c r="N121" s="3"/>
      <c r="O121" s="3"/>
      <c r="P121" s="3"/>
    </row>
    <row r="122" spans="4:16" x14ac:dyDescent="0.25">
      <c r="D122" s="10"/>
      <c r="E122" s="10"/>
      <c r="F122" s="27"/>
      <c r="G122" s="27"/>
      <c r="H122" s="3"/>
      <c r="I122" s="3"/>
      <c r="J122" s="3"/>
      <c r="K122" s="3"/>
      <c r="L122" s="3"/>
      <c r="M122" s="3"/>
      <c r="N122" s="3"/>
      <c r="O122" s="3"/>
      <c r="P122" s="3"/>
    </row>
    <row r="123" spans="4:16" x14ac:dyDescent="0.25">
      <c r="D123" s="10"/>
      <c r="E123" s="10"/>
      <c r="F123" s="27"/>
      <c r="G123" s="27"/>
      <c r="H123" s="3"/>
      <c r="I123" s="3"/>
      <c r="J123" s="3"/>
      <c r="K123" s="3"/>
      <c r="L123" s="3"/>
      <c r="M123" s="3"/>
      <c r="N123" s="3"/>
      <c r="O123" s="3"/>
      <c r="P123" s="3"/>
    </row>
    <row r="124" spans="4:16" x14ac:dyDescent="0.25">
      <c r="D124" s="10"/>
      <c r="E124" s="10"/>
      <c r="F124" s="27"/>
      <c r="G124" s="27"/>
      <c r="H124" s="3"/>
      <c r="I124" s="3"/>
      <c r="J124" s="3"/>
      <c r="K124" s="3"/>
      <c r="L124" s="3"/>
      <c r="M124" s="3"/>
      <c r="N124" s="3"/>
      <c r="O124" s="3"/>
      <c r="P124" s="3"/>
    </row>
    <row r="125" spans="4:16" x14ac:dyDescent="0.25">
      <c r="D125" s="10"/>
      <c r="E125" s="10"/>
      <c r="F125" s="27"/>
      <c r="G125" s="27"/>
      <c r="H125" s="3"/>
      <c r="I125" s="3"/>
      <c r="J125" s="3"/>
      <c r="K125" s="3"/>
      <c r="L125" s="3"/>
      <c r="M125" s="3"/>
      <c r="N125" s="3"/>
      <c r="O125" s="3"/>
      <c r="P125" s="3"/>
    </row>
    <row r="126" spans="4:16" x14ac:dyDescent="0.25">
      <c r="D126" s="10"/>
      <c r="E126" s="10"/>
      <c r="F126" s="27"/>
      <c r="G126" s="27"/>
      <c r="H126" s="3"/>
      <c r="I126" s="3"/>
      <c r="J126" s="3"/>
      <c r="K126" s="3"/>
      <c r="L126" s="3"/>
      <c r="M126" s="3"/>
      <c r="N126" s="3"/>
      <c r="O126" s="3"/>
      <c r="P126" s="3"/>
    </row>
    <row r="127" spans="4:16" x14ac:dyDescent="0.25">
      <c r="D127" s="10"/>
      <c r="E127" s="10"/>
      <c r="F127" s="27"/>
      <c r="G127" s="27"/>
      <c r="H127" s="3"/>
      <c r="I127" s="3"/>
      <c r="J127" s="3"/>
      <c r="K127" s="3"/>
      <c r="L127" s="3"/>
      <c r="M127" s="3"/>
      <c r="N127" s="3"/>
      <c r="O127" s="3"/>
      <c r="P127" s="3"/>
    </row>
    <row r="128" spans="4:16" x14ac:dyDescent="0.25">
      <c r="D128" s="10"/>
      <c r="E128" s="10"/>
      <c r="F128" s="27"/>
      <c r="G128" s="27"/>
      <c r="H128" s="3"/>
      <c r="I128" s="3"/>
      <c r="J128" s="3"/>
      <c r="K128" s="3"/>
      <c r="L128" s="3"/>
      <c r="M128" s="3"/>
      <c r="N128" s="3"/>
      <c r="O128" s="3"/>
      <c r="P128" s="3"/>
    </row>
    <row r="129" spans="4:16" x14ac:dyDescent="0.25">
      <c r="D129" s="10"/>
      <c r="E129" s="10"/>
      <c r="F129" s="27"/>
      <c r="G129" s="27"/>
      <c r="H129" s="3"/>
      <c r="I129" s="3"/>
      <c r="J129" s="3"/>
      <c r="K129" s="3"/>
      <c r="L129" s="3"/>
      <c r="M129" s="3"/>
      <c r="N129" s="3"/>
      <c r="O129" s="3"/>
      <c r="P129" s="3"/>
    </row>
    <row r="130" spans="4:16" x14ac:dyDescent="0.25">
      <c r="D130" s="10"/>
      <c r="E130" s="10"/>
      <c r="F130" s="27"/>
      <c r="G130" s="27"/>
      <c r="H130" s="3"/>
      <c r="I130" s="3"/>
      <c r="J130" s="3"/>
      <c r="K130" s="3"/>
      <c r="L130" s="3"/>
      <c r="M130" s="3"/>
      <c r="N130" s="3"/>
      <c r="O130" s="3"/>
      <c r="P130" s="3"/>
    </row>
    <row r="131" spans="4:16" x14ac:dyDescent="0.25">
      <c r="D131" s="10"/>
      <c r="E131" s="10"/>
      <c r="F131" s="27"/>
      <c r="G131" s="27"/>
      <c r="H131" s="3"/>
      <c r="I131" s="3"/>
      <c r="J131" s="3"/>
      <c r="K131" s="3"/>
      <c r="L131" s="3"/>
      <c r="M131" s="3"/>
      <c r="N131" s="3"/>
      <c r="O131" s="3"/>
      <c r="P131" s="3"/>
    </row>
    <row r="132" spans="4:16" x14ac:dyDescent="0.25">
      <c r="D132" s="10"/>
      <c r="E132" s="10"/>
      <c r="F132" s="27"/>
      <c r="G132" s="27"/>
      <c r="H132" s="3"/>
      <c r="I132" s="3"/>
      <c r="J132" s="3"/>
      <c r="K132" s="3"/>
      <c r="L132" s="3"/>
      <c r="M132" s="3"/>
      <c r="N132" s="3"/>
      <c r="O132" s="3"/>
      <c r="P132" s="3"/>
    </row>
    <row r="133" spans="4:16" x14ac:dyDescent="0.25">
      <c r="D133" s="10"/>
      <c r="E133" s="10"/>
      <c r="F133" s="27"/>
      <c r="G133" s="27"/>
      <c r="H133" s="3"/>
      <c r="I133" s="3"/>
      <c r="J133" s="3"/>
      <c r="K133" s="3"/>
      <c r="L133" s="3"/>
      <c r="M133" s="3"/>
      <c r="N133" s="3"/>
      <c r="O133" s="3"/>
      <c r="P133" s="3"/>
    </row>
    <row r="134" spans="4:16" x14ac:dyDescent="0.25">
      <c r="D134" s="10"/>
      <c r="E134" s="10"/>
      <c r="F134" s="27"/>
      <c r="G134" s="27"/>
      <c r="H134" s="3"/>
      <c r="I134" s="3"/>
      <c r="J134" s="3"/>
      <c r="K134" s="3"/>
      <c r="L134" s="3"/>
      <c r="M134" s="3"/>
      <c r="N134" s="3"/>
      <c r="O134" s="3"/>
      <c r="P134" s="3"/>
    </row>
    <row r="135" spans="4:16" x14ac:dyDescent="0.25">
      <c r="D135" s="10"/>
      <c r="E135" s="10"/>
      <c r="F135" s="27"/>
      <c r="G135" s="27"/>
      <c r="H135" s="3"/>
      <c r="I135" s="3"/>
      <c r="J135" s="3"/>
      <c r="K135" s="3"/>
      <c r="L135" s="3"/>
      <c r="M135" s="3"/>
      <c r="N135" s="3"/>
      <c r="O135" s="3"/>
      <c r="P135" s="3"/>
    </row>
    <row r="136" spans="4:16" x14ac:dyDescent="0.25">
      <c r="D136" s="10"/>
      <c r="E136" s="10"/>
      <c r="F136" s="27"/>
      <c r="G136" s="27"/>
      <c r="H136" s="3"/>
      <c r="I136" s="3"/>
      <c r="J136" s="3"/>
      <c r="K136" s="3"/>
      <c r="L136" s="3"/>
      <c r="M136" s="3"/>
      <c r="N136" s="3"/>
      <c r="O136" s="3"/>
      <c r="P136" s="3"/>
    </row>
    <row r="137" spans="4:16" x14ac:dyDescent="0.25">
      <c r="D137" s="10"/>
      <c r="E137" s="10"/>
      <c r="F137" s="27"/>
      <c r="G137" s="27"/>
      <c r="H137" s="3"/>
      <c r="I137" s="3"/>
      <c r="J137" s="3"/>
      <c r="K137" s="3"/>
      <c r="L137" s="3"/>
      <c r="M137" s="3"/>
      <c r="N137" s="3"/>
      <c r="O137" s="3"/>
      <c r="P137" s="3"/>
    </row>
    <row r="138" spans="4:16" x14ac:dyDescent="0.25">
      <c r="D138" s="10"/>
      <c r="E138" s="10"/>
      <c r="F138" s="27"/>
      <c r="G138" s="27"/>
      <c r="H138" s="3"/>
      <c r="I138" s="3"/>
      <c r="J138" s="3"/>
      <c r="K138" s="3"/>
      <c r="L138" s="3"/>
      <c r="M138" s="3"/>
      <c r="N138" s="3"/>
      <c r="O138" s="3"/>
      <c r="P138" s="3"/>
    </row>
    <row r="139" spans="4:16" x14ac:dyDescent="0.25">
      <c r="D139" s="10"/>
      <c r="E139" s="10"/>
      <c r="F139" s="27"/>
      <c r="G139" s="27"/>
      <c r="H139" s="3"/>
      <c r="I139" s="3"/>
      <c r="J139" s="3"/>
      <c r="K139" s="3"/>
      <c r="L139" s="3"/>
      <c r="M139" s="3"/>
      <c r="N139" s="3"/>
      <c r="O139" s="3"/>
      <c r="P139" s="3"/>
    </row>
    <row r="140" spans="4:16" x14ac:dyDescent="0.25">
      <c r="D140" s="10"/>
      <c r="E140" s="10"/>
      <c r="F140" s="27"/>
      <c r="G140" s="27"/>
      <c r="H140" s="3"/>
      <c r="I140" s="3"/>
      <c r="J140" s="3"/>
      <c r="K140" s="3"/>
      <c r="L140" s="3"/>
      <c r="M140" s="3"/>
      <c r="N140" s="3"/>
      <c r="O140" s="3"/>
      <c r="P140" s="3"/>
    </row>
    <row r="141" spans="4:16" x14ac:dyDescent="0.25">
      <c r="D141" s="10"/>
      <c r="E141" s="10"/>
      <c r="F141" s="27"/>
      <c r="G141" s="27"/>
      <c r="H141" s="3"/>
      <c r="I141" s="3"/>
      <c r="J141" s="3"/>
      <c r="K141" s="3"/>
      <c r="L141" s="3"/>
      <c r="M141" s="3"/>
      <c r="N141" s="3"/>
      <c r="O141" s="3"/>
      <c r="P141" s="3"/>
    </row>
    <row r="142" spans="4:16" x14ac:dyDescent="0.25">
      <c r="D142" s="10"/>
      <c r="E142" s="10"/>
      <c r="F142" s="27"/>
      <c r="G142" s="27"/>
      <c r="H142" s="3"/>
      <c r="I142" s="3"/>
      <c r="J142" s="3"/>
      <c r="K142" s="3"/>
      <c r="L142" s="3"/>
      <c r="M142" s="3"/>
      <c r="N142" s="3"/>
      <c r="O142" s="3"/>
      <c r="P142" s="3"/>
    </row>
    <row r="143" spans="4:16" x14ac:dyDescent="0.25">
      <c r="D143" s="10"/>
      <c r="E143" s="10"/>
      <c r="F143" s="27"/>
      <c r="G143" s="27"/>
      <c r="H143" s="3"/>
      <c r="I143" s="3"/>
      <c r="J143" s="3"/>
      <c r="K143" s="3"/>
      <c r="L143" s="3"/>
      <c r="M143" s="3"/>
      <c r="N143" s="3"/>
      <c r="O143" s="3"/>
      <c r="P143" s="3"/>
    </row>
    <row r="144" spans="4:16" x14ac:dyDescent="0.25">
      <c r="D144" s="10"/>
      <c r="E144" s="10"/>
      <c r="F144" s="27"/>
      <c r="G144" s="27"/>
      <c r="H144" s="3"/>
      <c r="I144" s="3"/>
      <c r="J144" s="3"/>
      <c r="K144" s="3"/>
      <c r="L144" s="3"/>
      <c r="M144" s="3"/>
      <c r="N144" s="3"/>
      <c r="O144" s="3"/>
      <c r="P144" s="3"/>
    </row>
    <row r="145" spans="4:16" x14ac:dyDescent="0.25">
      <c r="D145" s="10"/>
      <c r="E145" s="10"/>
      <c r="F145" s="27"/>
      <c r="G145" s="27"/>
      <c r="H145" s="3"/>
      <c r="I145" s="3"/>
      <c r="J145" s="3"/>
      <c r="K145" s="3"/>
      <c r="L145" s="3"/>
      <c r="M145" s="3"/>
      <c r="N145" s="3"/>
      <c r="O145" s="3"/>
      <c r="P145" s="3"/>
    </row>
    <row r="146" spans="4:16" x14ac:dyDescent="0.25">
      <c r="D146" s="10"/>
      <c r="E146" s="10"/>
      <c r="F146" s="27"/>
      <c r="G146" s="27"/>
      <c r="H146" s="3"/>
      <c r="I146" s="3"/>
      <c r="J146" s="3"/>
      <c r="K146" s="3"/>
      <c r="L146" s="3"/>
      <c r="M146" s="3"/>
      <c r="N146" s="3"/>
      <c r="O146" s="3"/>
      <c r="P146" s="3"/>
    </row>
    <row r="147" spans="4:16" x14ac:dyDescent="0.25">
      <c r="D147" s="10"/>
      <c r="E147" s="10"/>
      <c r="F147" s="27"/>
      <c r="G147" s="27"/>
      <c r="H147" s="3"/>
      <c r="I147" s="3"/>
      <c r="J147" s="3"/>
      <c r="K147" s="3"/>
      <c r="L147" s="3"/>
      <c r="M147" s="3"/>
      <c r="N147" s="3"/>
      <c r="O147" s="3"/>
      <c r="P147" s="3"/>
    </row>
    <row r="148" spans="4:16" x14ac:dyDescent="0.25">
      <c r="D148" s="10"/>
      <c r="E148" s="10"/>
      <c r="F148" s="27"/>
      <c r="G148" s="27"/>
      <c r="H148" s="3"/>
      <c r="I148" s="3"/>
      <c r="J148" s="3"/>
      <c r="K148" s="3"/>
      <c r="L148" s="3"/>
      <c r="M148" s="3"/>
      <c r="N148" s="3"/>
      <c r="O148" s="3"/>
      <c r="P148" s="3"/>
    </row>
    <row r="149" spans="4:16" x14ac:dyDescent="0.25">
      <c r="D149" s="10"/>
      <c r="E149" s="10"/>
      <c r="F149" s="27"/>
      <c r="G149" s="27"/>
      <c r="H149" s="3"/>
      <c r="I149" s="3"/>
      <c r="J149" s="3"/>
      <c r="K149" s="3"/>
      <c r="L149" s="3"/>
      <c r="M149" s="3"/>
      <c r="N149" s="3"/>
      <c r="O149" s="3"/>
      <c r="P149" s="3"/>
    </row>
    <row r="150" spans="4:16" x14ac:dyDescent="0.25">
      <c r="D150" s="10"/>
      <c r="E150" s="10"/>
      <c r="F150" s="27"/>
      <c r="G150" s="27"/>
      <c r="H150" s="3"/>
      <c r="I150" s="3"/>
      <c r="J150" s="3"/>
      <c r="K150" s="3"/>
      <c r="L150" s="3"/>
      <c r="M150" s="3"/>
      <c r="N150" s="3"/>
      <c r="O150" s="3"/>
      <c r="P150" s="3"/>
    </row>
    <row r="151" spans="4:16" x14ac:dyDescent="0.25">
      <c r="D151" s="10"/>
      <c r="E151" s="10"/>
      <c r="F151" s="27"/>
      <c r="G151" s="27"/>
      <c r="H151" s="3"/>
      <c r="I151" s="3"/>
      <c r="J151" s="3"/>
      <c r="K151" s="3"/>
      <c r="L151" s="3"/>
      <c r="M151" s="3"/>
      <c r="N151" s="3"/>
      <c r="O151" s="3"/>
      <c r="P151" s="3"/>
    </row>
    <row r="152" spans="4:16" x14ac:dyDescent="0.25">
      <c r="D152" s="10"/>
      <c r="E152" s="10"/>
      <c r="F152" s="27"/>
      <c r="G152" s="27"/>
      <c r="H152" s="3"/>
      <c r="I152" s="3"/>
      <c r="J152" s="3"/>
      <c r="K152" s="3"/>
      <c r="L152" s="3"/>
      <c r="M152" s="3"/>
      <c r="N152" s="3"/>
      <c r="O152" s="3"/>
      <c r="P152" s="3"/>
    </row>
    <row r="153" spans="4:16" x14ac:dyDescent="0.25">
      <c r="D153" s="10"/>
      <c r="E153" s="10"/>
      <c r="F153" s="27"/>
      <c r="G153" s="27"/>
      <c r="H153" s="3"/>
      <c r="I153" s="3"/>
      <c r="J153" s="3"/>
      <c r="K153" s="3"/>
      <c r="L153" s="3"/>
      <c r="M153" s="3"/>
      <c r="N153" s="3"/>
      <c r="O153" s="3"/>
      <c r="P153" s="3"/>
    </row>
    <row r="154" spans="4:16" x14ac:dyDescent="0.25">
      <c r="D154" s="10"/>
      <c r="E154" s="10"/>
      <c r="F154" s="27"/>
      <c r="G154" s="27"/>
      <c r="H154" s="3"/>
      <c r="I154" s="3"/>
      <c r="J154" s="3"/>
      <c r="K154" s="3"/>
      <c r="L154" s="3"/>
      <c r="M154" s="3"/>
      <c r="N154" s="3"/>
      <c r="O154" s="3"/>
      <c r="P154" s="3"/>
    </row>
    <row r="155" spans="4:16" x14ac:dyDescent="0.25">
      <c r="D155" s="10"/>
      <c r="E155" s="10"/>
      <c r="F155" s="27"/>
      <c r="G155" s="27"/>
      <c r="H155" s="3"/>
      <c r="I155" s="3"/>
      <c r="J155" s="3"/>
      <c r="K155" s="3"/>
      <c r="L155" s="3"/>
      <c r="M155" s="3"/>
      <c r="N155" s="3"/>
      <c r="O155" s="3"/>
      <c r="P155" s="3"/>
    </row>
    <row r="156" spans="4:16" x14ac:dyDescent="0.25">
      <c r="D156" s="10"/>
      <c r="E156" s="10"/>
      <c r="F156" s="27"/>
      <c r="G156" s="27"/>
      <c r="H156" s="3"/>
      <c r="I156" s="3"/>
      <c r="J156" s="3"/>
      <c r="K156" s="3"/>
      <c r="L156" s="3"/>
      <c r="M156" s="3"/>
      <c r="N156" s="3"/>
      <c r="O156" s="3"/>
      <c r="P156" s="3"/>
    </row>
    <row r="157" spans="4:16" x14ac:dyDescent="0.25">
      <c r="D157" s="10"/>
      <c r="E157" s="10"/>
      <c r="F157" s="27"/>
      <c r="G157" s="27"/>
      <c r="H157" s="3"/>
      <c r="I157" s="3"/>
      <c r="J157" s="3"/>
      <c r="K157" s="3"/>
      <c r="L157" s="3"/>
      <c r="M157" s="3"/>
      <c r="N157" s="3"/>
      <c r="O157" s="3"/>
      <c r="P157" s="3"/>
    </row>
    <row r="158" spans="4:16" x14ac:dyDescent="0.25">
      <c r="D158" s="10"/>
      <c r="E158" s="10"/>
      <c r="F158" s="27"/>
      <c r="G158" s="27"/>
      <c r="H158" s="3"/>
      <c r="I158" s="3"/>
      <c r="J158" s="3"/>
      <c r="K158" s="3"/>
      <c r="L158" s="3"/>
      <c r="M158" s="3"/>
      <c r="N158" s="3"/>
      <c r="O158" s="3"/>
      <c r="P158" s="3"/>
    </row>
    <row r="159" spans="4:16" x14ac:dyDescent="0.25">
      <c r="D159" s="10"/>
      <c r="E159" s="10"/>
      <c r="F159" s="27"/>
      <c r="G159" s="27"/>
      <c r="H159" s="3"/>
      <c r="I159" s="3"/>
      <c r="J159" s="3"/>
      <c r="K159" s="3"/>
      <c r="L159" s="3"/>
      <c r="M159" s="3"/>
      <c r="N159" s="3"/>
      <c r="O159" s="3"/>
      <c r="P159" s="3"/>
    </row>
    <row r="160" spans="4:16" x14ac:dyDescent="0.25">
      <c r="D160" s="10"/>
      <c r="E160" s="10"/>
      <c r="F160" s="27"/>
      <c r="G160" s="27"/>
      <c r="H160" s="3"/>
      <c r="I160" s="3"/>
      <c r="J160" s="3"/>
      <c r="K160" s="3"/>
      <c r="L160" s="3"/>
      <c r="M160" s="3"/>
      <c r="N160" s="3"/>
      <c r="O160" s="3"/>
      <c r="P160" s="3"/>
    </row>
    <row r="161" spans="4:16" x14ac:dyDescent="0.25">
      <c r="D161" s="10"/>
      <c r="E161" s="10"/>
      <c r="F161" s="27"/>
      <c r="G161" s="27"/>
      <c r="H161" s="3"/>
      <c r="I161" s="3"/>
      <c r="J161" s="3"/>
      <c r="K161" s="3"/>
      <c r="L161" s="3"/>
      <c r="M161" s="3"/>
      <c r="N161" s="3"/>
      <c r="O161" s="3"/>
      <c r="P161" s="3"/>
    </row>
    <row r="162" spans="4:16" x14ac:dyDescent="0.25">
      <c r="D162" s="10"/>
      <c r="E162" s="10"/>
      <c r="F162" s="27"/>
      <c r="G162" s="27"/>
      <c r="H162" s="3"/>
      <c r="I162" s="3"/>
      <c r="J162" s="3"/>
      <c r="K162" s="3"/>
      <c r="L162" s="3"/>
      <c r="M162" s="3"/>
      <c r="N162" s="3"/>
      <c r="O162" s="3"/>
      <c r="P162" s="3"/>
    </row>
    <row r="163" spans="4:16" x14ac:dyDescent="0.25">
      <c r="D163" s="10"/>
      <c r="E163" s="10"/>
      <c r="F163" s="27"/>
      <c r="G163" s="27"/>
      <c r="H163" s="3"/>
      <c r="I163" s="3"/>
      <c r="J163" s="3"/>
      <c r="K163" s="3"/>
      <c r="L163" s="3"/>
      <c r="M163" s="3"/>
      <c r="N163" s="3"/>
      <c r="O163" s="3"/>
      <c r="P163" s="3"/>
    </row>
    <row r="164" spans="4:16" x14ac:dyDescent="0.25">
      <c r="D164" s="10"/>
      <c r="E164" s="10"/>
      <c r="F164" s="27"/>
      <c r="G164" s="27"/>
      <c r="H164" s="3"/>
      <c r="I164" s="3"/>
      <c r="J164" s="3"/>
      <c r="K164" s="3"/>
      <c r="L164" s="3"/>
      <c r="M164" s="3"/>
      <c r="N164" s="3"/>
      <c r="O164" s="3"/>
      <c r="P164" s="3"/>
    </row>
    <row r="165" spans="4:16" x14ac:dyDescent="0.25">
      <c r="D165" s="10"/>
      <c r="E165" s="10"/>
      <c r="F165" s="27"/>
      <c r="G165" s="27"/>
      <c r="H165" s="3"/>
      <c r="I165" s="3"/>
      <c r="J165" s="3"/>
      <c r="K165" s="3"/>
      <c r="L165" s="3"/>
      <c r="M165" s="3"/>
      <c r="N165" s="3"/>
      <c r="O165" s="3"/>
      <c r="P165" s="3"/>
    </row>
    <row r="166" spans="4:16" x14ac:dyDescent="0.25">
      <c r="D166" s="10"/>
      <c r="E166" s="10"/>
      <c r="F166" s="27"/>
      <c r="G166" s="27"/>
      <c r="H166" s="3"/>
      <c r="I166" s="3"/>
      <c r="J166" s="3"/>
      <c r="K166" s="3"/>
      <c r="L166" s="3"/>
      <c r="M166" s="3"/>
      <c r="N166" s="3"/>
      <c r="O166" s="3"/>
      <c r="P166" s="3"/>
    </row>
    <row r="167" spans="4:16" x14ac:dyDescent="0.25">
      <c r="D167" s="10"/>
      <c r="E167" s="10"/>
      <c r="F167" s="27"/>
      <c r="G167" s="27"/>
      <c r="H167" s="3"/>
      <c r="I167" s="3"/>
      <c r="J167" s="3"/>
      <c r="K167" s="3"/>
      <c r="L167" s="3"/>
      <c r="M167" s="3"/>
      <c r="N167" s="3"/>
      <c r="O167" s="3"/>
      <c r="P167" s="3"/>
    </row>
    <row r="168" spans="4:16" x14ac:dyDescent="0.25">
      <c r="D168" s="10"/>
      <c r="E168" s="10"/>
      <c r="F168" s="27"/>
      <c r="G168" s="27"/>
      <c r="H168" s="3"/>
      <c r="I168" s="3"/>
      <c r="J168" s="3"/>
      <c r="K168" s="3"/>
      <c r="L168" s="3"/>
      <c r="M168" s="3"/>
      <c r="N168" s="3"/>
      <c r="O168" s="3"/>
      <c r="P168" s="3"/>
    </row>
    <row r="169" spans="4:16" x14ac:dyDescent="0.25">
      <c r="D169" s="10"/>
      <c r="E169" s="10"/>
      <c r="F169" s="27"/>
      <c r="G169" s="27"/>
      <c r="H169" s="3"/>
      <c r="I169" s="3"/>
      <c r="J169" s="3"/>
      <c r="K169" s="3"/>
      <c r="L169" s="3"/>
      <c r="M169" s="3"/>
      <c r="N169" s="3"/>
      <c r="O169" s="3"/>
      <c r="P169" s="3"/>
    </row>
    <row r="170" spans="4:16" x14ac:dyDescent="0.25">
      <c r="D170" s="10"/>
      <c r="E170" s="10"/>
      <c r="F170" s="27"/>
      <c r="G170" s="27"/>
      <c r="H170" s="3"/>
      <c r="I170" s="3"/>
      <c r="J170" s="3"/>
      <c r="K170" s="3"/>
      <c r="L170" s="3"/>
      <c r="M170" s="3"/>
      <c r="N170" s="3"/>
      <c r="O170" s="3"/>
      <c r="P170" s="3"/>
    </row>
    <row r="171" spans="4:16" x14ac:dyDescent="0.25">
      <c r="D171" s="10"/>
      <c r="E171" s="10"/>
      <c r="F171" s="27"/>
      <c r="G171" s="27"/>
      <c r="H171" s="3"/>
      <c r="I171" s="3"/>
      <c r="J171" s="3"/>
      <c r="K171" s="3"/>
      <c r="L171" s="3"/>
      <c r="M171" s="3"/>
      <c r="N171" s="3"/>
      <c r="O171" s="3"/>
      <c r="P171" s="3"/>
    </row>
    <row r="172" spans="4:16" x14ac:dyDescent="0.25">
      <c r="D172" s="10"/>
      <c r="E172" s="10"/>
      <c r="F172" s="27"/>
      <c r="G172" s="27"/>
      <c r="H172" s="3"/>
      <c r="I172" s="3"/>
      <c r="J172" s="3"/>
      <c r="K172" s="3"/>
      <c r="L172" s="3"/>
      <c r="M172" s="3"/>
      <c r="N172" s="3"/>
      <c r="O172" s="3"/>
      <c r="P172" s="3"/>
    </row>
    <row r="173" spans="4:16" x14ac:dyDescent="0.25">
      <c r="D173" s="10"/>
      <c r="E173" s="10"/>
      <c r="F173" s="27"/>
      <c r="G173" s="27"/>
      <c r="H173" s="3"/>
      <c r="I173" s="3"/>
      <c r="J173" s="3"/>
      <c r="K173" s="3"/>
      <c r="L173" s="3"/>
      <c r="M173" s="3"/>
      <c r="N173" s="3"/>
      <c r="O173" s="3"/>
      <c r="P173" s="3"/>
    </row>
    <row r="174" spans="4:16" x14ac:dyDescent="0.25">
      <c r="D174" s="10"/>
      <c r="E174" s="10"/>
      <c r="F174" s="27"/>
      <c r="G174" s="27"/>
      <c r="H174" s="3"/>
      <c r="I174" s="3"/>
      <c r="J174" s="3"/>
      <c r="K174" s="3"/>
      <c r="L174" s="3"/>
      <c r="M174" s="3"/>
      <c r="N174" s="3"/>
      <c r="O174" s="3"/>
      <c r="P174" s="3"/>
    </row>
    <row r="175" spans="4:16" x14ac:dyDescent="0.25">
      <c r="D175" s="10"/>
      <c r="E175" s="10"/>
      <c r="F175" s="27"/>
      <c r="G175" s="27"/>
      <c r="H175" s="3"/>
      <c r="I175" s="3"/>
      <c r="J175" s="3"/>
      <c r="K175" s="3"/>
      <c r="L175" s="3"/>
      <c r="M175" s="3"/>
      <c r="N175" s="3"/>
      <c r="O175" s="3"/>
      <c r="P175" s="3"/>
    </row>
    <row r="176" spans="4:16" x14ac:dyDescent="0.25">
      <c r="D176" s="10"/>
      <c r="E176" s="10"/>
      <c r="F176" s="27"/>
      <c r="G176" s="27"/>
      <c r="H176" s="3"/>
      <c r="I176" s="3"/>
      <c r="J176" s="3"/>
      <c r="K176" s="3"/>
      <c r="L176" s="3"/>
      <c r="M176" s="3"/>
      <c r="N176" s="3"/>
      <c r="O176" s="3"/>
      <c r="P176" s="3"/>
    </row>
    <row r="177" spans="4:16" x14ac:dyDescent="0.25">
      <c r="D177" s="10"/>
      <c r="E177" s="10"/>
      <c r="F177" s="27"/>
      <c r="G177" s="27"/>
      <c r="H177" s="3"/>
      <c r="I177" s="3"/>
      <c r="J177" s="3"/>
      <c r="K177" s="3"/>
      <c r="L177" s="3"/>
      <c r="M177" s="3"/>
      <c r="N177" s="3"/>
      <c r="O177" s="3"/>
      <c r="P177" s="3"/>
    </row>
    <row r="178" spans="4:16" x14ac:dyDescent="0.25">
      <c r="D178" s="10"/>
      <c r="E178" s="10"/>
      <c r="F178" s="27"/>
      <c r="G178" s="27"/>
      <c r="H178" s="3"/>
      <c r="I178" s="3"/>
      <c r="J178" s="3"/>
      <c r="K178" s="3"/>
      <c r="L178" s="3"/>
      <c r="M178" s="3"/>
      <c r="N178" s="3"/>
      <c r="O178" s="3"/>
      <c r="P178" s="3"/>
    </row>
    <row r="179" spans="4:16" x14ac:dyDescent="0.25">
      <c r="D179" s="10"/>
      <c r="E179" s="10"/>
      <c r="F179" s="27"/>
      <c r="G179" s="27"/>
      <c r="H179" s="3"/>
      <c r="I179" s="3"/>
      <c r="J179" s="3"/>
      <c r="K179" s="3"/>
      <c r="L179" s="3"/>
      <c r="M179" s="3"/>
      <c r="N179" s="3"/>
      <c r="O179" s="3"/>
      <c r="P179" s="3"/>
    </row>
    <row r="180" spans="4:16" x14ac:dyDescent="0.25">
      <c r="D180" s="10"/>
      <c r="E180" s="10"/>
      <c r="F180" s="27"/>
      <c r="G180" s="27"/>
      <c r="H180" s="3"/>
      <c r="I180" s="3"/>
      <c r="J180" s="3"/>
      <c r="K180" s="3"/>
      <c r="L180" s="3"/>
      <c r="M180" s="3"/>
      <c r="N180" s="3"/>
      <c r="O180" s="3"/>
      <c r="P180" s="3"/>
    </row>
    <row r="181" spans="4:16" x14ac:dyDescent="0.25">
      <c r="D181" s="10"/>
      <c r="E181" s="10"/>
      <c r="F181" s="27"/>
      <c r="G181" s="27"/>
      <c r="H181" s="3"/>
      <c r="I181" s="3"/>
      <c r="J181" s="3"/>
      <c r="K181" s="3"/>
      <c r="L181" s="3"/>
      <c r="M181" s="3"/>
      <c r="N181" s="3"/>
      <c r="O181" s="3"/>
      <c r="P181" s="3"/>
    </row>
    <row r="182" spans="4:16" x14ac:dyDescent="0.25">
      <c r="D182" s="10"/>
      <c r="E182" s="10"/>
      <c r="F182" s="27"/>
      <c r="G182" s="27"/>
      <c r="H182" s="3"/>
      <c r="I182" s="3"/>
      <c r="J182" s="3"/>
      <c r="K182" s="3"/>
      <c r="L182" s="3"/>
      <c r="M182" s="3"/>
      <c r="N182" s="3"/>
      <c r="O182" s="3"/>
      <c r="P182" s="3"/>
    </row>
    <row r="183" spans="4:16" x14ac:dyDescent="0.25">
      <c r="D183" s="10"/>
      <c r="E183" s="10"/>
      <c r="F183" s="27"/>
      <c r="G183" s="27"/>
      <c r="H183" s="3"/>
      <c r="I183" s="3"/>
      <c r="J183" s="3"/>
      <c r="K183" s="3"/>
      <c r="L183" s="3"/>
      <c r="M183" s="3"/>
      <c r="N183" s="3"/>
      <c r="O183" s="3"/>
      <c r="P183" s="3"/>
    </row>
    <row r="184" spans="4:16" x14ac:dyDescent="0.25">
      <c r="D184" s="10"/>
      <c r="E184" s="10"/>
      <c r="F184" s="27"/>
      <c r="G184" s="27"/>
      <c r="H184" s="3"/>
      <c r="I184" s="3"/>
      <c r="J184" s="3"/>
      <c r="K184" s="3"/>
      <c r="L184" s="3"/>
      <c r="M184" s="3"/>
      <c r="N184" s="3"/>
      <c r="O184" s="3"/>
      <c r="P184" s="3"/>
    </row>
    <row r="185" spans="4:16" x14ac:dyDescent="0.25">
      <c r="D185" s="10"/>
      <c r="E185" s="10"/>
      <c r="F185" s="27"/>
      <c r="G185" s="27"/>
      <c r="H185" s="3"/>
      <c r="I185" s="3"/>
      <c r="J185" s="3"/>
      <c r="K185" s="3"/>
      <c r="L185" s="3"/>
      <c r="M185" s="3"/>
      <c r="N185" s="3"/>
      <c r="O185" s="3"/>
      <c r="P185" s="3"/>
    </row>
  </sheetData>
  <mergeCells count="2">
    <mergeCell ref="D1:E1"/>
    <mergeCell ref="A21:C2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Calculation of LOD (expt data)</vt:lpstr>
      <vt:lpstr>Calculation of LOD (simul data)</vt:lpstr>
      <vt:lpstr>Eqns from Currie and Svehla</vt:lpstr>
      <vt:lpstr>'Eqns from Currie and Svehla'!a</vt:lpstr>
      <vt:lpstr>A</vt:lpstr>
      <vt:lpstr>Amp</vt:lpstr>
      <vt:lpstr>'Calculation of LOD (expt data)'!b</vt:lpstr>
      <vt:lpstr>'Calculation of LOD (simul data)'!b</vt:lpstr>
      <vt:lpstr>'Eqns from Currie and Svehla'!b</vt:lpstr>
      <vt:lpstr>Bamp</vt:lpstr>
      <vt:lpstr>'Calculation of LOD (expt data)'!D</vt:lpstr>
      <vt:lpstr>'Calculation of LOD (simul data)'!D</vt:lpstr>
      <vt:lpstr>garbage</vt:lpstr>
      <vt:lpstr>'Calculation of LOD (simul data)'!I</vt:lpstr>
      <vt:lpstr>'Eqns from Currie and Svehla'!I</vt:lpstr>
      <vt:lpstr>intercept</vt:lpstr>
      <vt:lpstr>'Calculation of LOD (expt data)'!k</vt:lpstr>
      <vt:lpstr>'Calculation of LOD (simul data)'!k</vt:lpstr>
      <vt:lpstr>'Eqns from Currie and Svehla'!K</vt:lpstr>
      <vt:lpstr>'Calculation of LOD (expt data)'!m</vt:lpstr>
      <vt:lpstr>'Calculation of LOD (simul data)'!m</vt:lpstr>
      <vt:lpstr>'Eqns from Currie and Svehla'!m</vt:lpstr>
      <vt:lpstr>'Calculation of LOD (expt data)'!n</vt:lpstr>
      <vt:lpstr>'Calculation of LOD (simul data)'!n</vt:lpstr>
      <vt:lpstr>'Eqns from Currie and Svehla'!n</vt:lpstr>
      <vt:lpstr>'Eqns from Currie and Svehla'!r_a_b</vt:lpstr>
      <vt:lpstr>'Calculation of LOD (simul data)'!s_0</vt:lpstr>
      <vt:lpstr>'Eqns from Currie and Svehla'!s_0</vt:lpstr>
      <vt:lpstr>'Eqns from Currie and Svehla'!s_a</vt:lpstr>
      <vt:lpstr>'Eqns from Currie and Svehla'!s_b</vt:lpstr>
      <vt:lpstr>'Eqns from Currie and Svehla'!s_y</vt:lpstr>
      <vt:lpstr>sigma_b</vt:lpstr>
      <vt:lpstr>'Calculation of LOD (simul data)'!Sigma_slope</vt:lpstr>
      <vt:lpstr>'Calculation of LOD (expt data)'!sigma_y</vt:lpstr>
      <vt:lpstr>'Calculation of LOD (simul data)'!sigma_y</vt:lpstr>
      <vt:lpstr>slope</vt:lpstr>
      <vt:lpstr>'Calculation of LOD (simul data)'!t</vt:lpstr>
      <vt:lpstr>'Eqns from Currie and Svehla'!t</vt:lpstr>
      <vt:lpstr>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Loock</dc:creator>
  <cp:lastModifiedBy>Peter Loock</cp:lastModifiedBy>
  <dcterms:created xsi:type="dcterms:W3CDTF">2011-08-06T17:48:09Z</dcterms:created>
  <dcterms:modified xsi:type="dcterms:W3CDTF">2019-03-21T21:59:01Z</dcterms:modified>
</cp:coreProperties>
</file>